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Holzbau\BH- Bemessungshilfen\Terrasse\"/>
    </mc:Choice>
  </mc:AlternateContent>
  <xr:revisionPtr revIDLastSave="0" documentId="13_ncr:1_{0F3A986A-C26C-46A0-A61C-47BA9B7A60C8}" xr6:coauthVersionLast="47" xr6:coauthVersionMax="47" xr10:uidLastSave="{00000000-0000-0000-0000-000000000000}"/>
  <bookViews>
    <workbookView xWindow="-108" yWindow="-108" windowWidth="23256" windowHeight="14016" activeTab="4" xr2:uid="{00000000-000D-0000-FFFF-FFFF00000000}"/>
  </bookViews>
  <sheets>
    <sheet name="Vorlage Terrasse" sheetId="2" r:id="rId1"/>
    <sheet name="Vorlage offene Rhomboidfassade" sheetId="4" r:id="rId2"/>
    <sheet name="Vorlage Stülpschalung" sheetId="5" r:id="rId3"/>
    <sheet name="Vorlage Profil-Keilstülpsch" sheetId="6" r:id="rId4"/>
    <sheet name="Vorlage Boden Deckel Schalung" sheetId="9" r:id="rId5"/>
  </sheets>
  <definedNames>
    <definedName name="_xlnm.Print_Area" localSheetId="4">'Vorlage Boden Deckel Schalung'!$A$1:$N$28</definedName>
    <definedName name="_xlnm.Print_Area" localSheetId="1">'Vorlage offene Rhomboidfassade'!$A$1:$L$27</definedName>
    <definedName name="_xlnm.Print_Area" localSheetId="3">'Vorlage Profil-Keilstülpsch'!$A$1:$L$27</definedName>
    <definedName name="_xlnm.Print_Area" localSheetId="2">'Vorlage Stülpschalung'!$A$1:$L$28</definedName>
    <definedName name="_xlnm.Print_Area" localSheetId="0">'Vorlage Terrasse'!$A$1:$J$24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9" l="1"/>
  <c r="F45" i="6"/>
  <c r="F81" i="5" l="1"/>
  <c r="F80" i="5"/>
  <c r="F79" i="5"/>
  <c r="F68" i="5"/>
  <c r="F67" i="5"/>
  <c r="F66" i="5"/>
  <c r="F65" i="5"/>
  <c r="F69" i="5"/>
  <c r="L67" i="9"/>
  <c r="L66" i="9"/>
  <c r="L65" i="9"/>
  <c r="L64" i="9"/>
  <c r="K67" i="9"/>
  <c r="K66" i="9"/>
  <c r="K65" i="9"/>
  <c r="K64" i="9"/>
  <c r="G67" i="9"/>
  <c r="G66" i="9"/>
  <c r="G65" i="9"/>
  <c r="G64" i="9"/>
  <c r="L68" i="9"/>
  <c r="K68" i="9"/>
  <c r="G68" i="9"/>
  <c r="G80" i="9"/>
  <c r="G79" i="9"/>
  <c r="G78" i="9"/>
  <c r="G81" i="9"/>
  <c r="F82" i="6"/>
  <c r="F83" i="6"/>
  <c r="F84" i="6"/>
  <c r="F85" i="6"/>
  <c r="F68" i="6"/>
  <c r="F69" i="6"/>
  <c r="F70" i="6"/>
  <c r="F71" i="6"/>
  <c r="I11" i="2" l="1"/>
  <c r="I10" i="2"/>
  <c r="I9" i="2"/>
  <c r="L9" i="9"/>
  <c r="M14" i="9"/>
  <c r="M17" i="9"/>
  <c r="M16" i="9"/>
  <c r="M15" i="9"/>
  <c r="L14" i="9"/>
  <c r="L17" i="9"/>
  <c r="L16" i="9"/>
  <c r="L15" i="9"/>
  <c r="M12" i="9"/>
  <c r="M11" i="9"/>
  <c r="M10" i="9"/>
  <c r="M9" i="9"/>
  <c r="M8" i="9"/>
  <c r="L8" i="9"/>
  <c r="L12" i="9"/>
  <c r="L11" i="9"/>
  <c r="L10" i="9"/>
  <c r="N10" i="9"/>
  <c r="G85" i="9"/>
  <c r="G84" i="9"/>
  <c r="G83" i="9"/>
  <c r="G82" i="9"/>
  <c r="G77" i="9"/>
  <c r="G76" i="9"/>
  <c r="G75" i="9"/>
  <c r="G74" i="9"/>
  <c r="G73" i="9"/>
  <c r="G72" i="9"/>
  <c r="G71" i="9"/>
  <c r="G70" i="9"/>
  <c r="G69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N17" i="9"/>
  <c r="N16" i="9"/>
  <c r="N15" i="9"/>
  <c r="N14" i="9"/>
  <c r="N12" i="9"/>
  <c r="N11" i="9"/>
  <c r="N9" i="9"/>
  <c r="N8" i="9"/>
  <c r="F59" i="4"/>
  <c r="F60" i="4"/>
  <c r="F61" i="4"/>
  <c r="F62" i="4"/>
  <c r="F63" i="4"/>
  <c r="F64" i="4"/>
  <c r="F65" i="4"/>
  <c r="F66" i="4"/>
  <c r="F67" i="4"/>
  <c r="F68" i="4"/>
  <c r="L12" i="5"/>
  <c r="L11" i="5"/>
  <c r="L10" i="5"/>
  <c r="L9" i="5"/>
  <c r="K12" i="5"/>
  <c r="K11" i="5"/>
  <c r="K10" i="5"/>
  <c r="K9" i="5"/>
  <c r="F52" i="2"/>
  <c r="F51" i="2"/>
  <c r="F50" i="2"/>
  <c r="F49" i="2"/>
  <c r="F48" i="2"/>
  <c r="F47" i="2"/>
  <c r="I8" i="2"/>
  <c r="L17" i="4"/>
  <c r="L16" i="4"/>
  <c r="L15" i="4"/>
  <c r="L14" i="4"/>
  <c r="L12" i="4"/>
  <c r="L11" i="4"/>
  <c r="L10" i="4"/>
  <c r="L8" i="4"/>
  <c r="L9" i="4"/>
  <c r="L17" i="6"/>
  <c r="L16" i="6"/>
  <c r="L15" i="6"/>
  <c r="L14" i="6"/>
  <c r="L12" i="6"/>
  <c r="L11" i="6"/>
  <c r="L10" i="6"/>
  <c r="L8" i="6"/>
  <c r="L9" i="6"/>
  <c r="L17" i="5"/>
  <c r="L16" i="5"/>
  <c r="L15" i="5"/>
  <c r="K17" i="5"/>
  <c r="K16" i="5"/>
  <c r="K15" i="5"/>
  <c r="K14" i="5"/>
  <c r="L14" i="5"/>
  <c r="L8" i="5"/>
  <c r="F33" i="6"/>
  <c r="F32" i="6"/>
  <c r="F31" i="6"/>
  <c r="K9" i="6"/>
  <c r="K17" i="6"/>
  <c r="K16" i="6"/>
  <c r="K15" i="6"/>
  <c r="K14" i="6"/>
  <c r="K12" i="6"/>
  <c r="K11" i="6"/>
  <c r="K10" i="6"/>
  <c r="K8" i="6"/>
  <c r="F59" i="5"/>
  <c r="F58" i="5"/>
  <c r="F57" i="5"/>
  <c r="F56" i="5"/>
  <c r="F55" i="5"/>
  <c r="F54" i="5"/>
  <c r="F53" i="5"/>
  <c r="F52" i="5"/>
  <c r="F51" i="5"/>
  <c r="F50" i="5"/>
  <c r="F49" i="5"/>
  <c r="F48" i="5"/>
  <c r="F58" i="4"/>
  <c r="F57" i="4"/>
  <c r="F56" i="4"/>
  <c r="F55" i="4"/>
  <c r="F54" i="4"/>
  <c r="F53" i="4"/>
  <c r="F52" i="4"/>
  <c r="F67" i="6"/>
  <c r="F65" i="6"/>
  <c r="F66" i="6"/>
  <c r="F64" i="6"/>
  <c r="F63" i="6"/>
  <c r="F62" i="6"/>
  <c r="F61" i="6"/>
  <c r="F60" i="6"/>
  <c r="F59" i="6"/>
  <c r="F58" i="6"/>
  <c r="F57" i="6"/>
  <c r="F56" i="6"/>
  <c r="F49" i="6"/>
  <c r="F48" i="6"/>
  <c r="F47" i="6"/>
  <c r="F46" i="6"/>
  <c r="F44" i="6"/>
  <c r="F43" i="6"/>
  <c r="F42" i="6"/>
  <c r="F41" i="6"/>
  <c r="F40" i="6"/>
  <c r="F39" i="6"/>
  <c r="F38" i="6"/>
  <c r="F37" i="6"/>
  <c r="F36" i="6"/>
  <c r="F35" i="6"/>
  <c r="F34" i="6"/>
  <c r="F55" i="6"/>
  <c r="F54" i="6"/>
  <c r="F53" i="6"/>
  <c r="F52" i="6"/>
  <c r="F51" i="6"/>
  <c r="F50" i="6"/>
  <c r="F89" i="6"/>
  <c r="F88" i="6"/>
  <c r="F87" i="6"/>
  <c r="F86" i="6"/>
  <c r="F81" i="6"/>
  <c r="F80" i="6"/>
  <c r="F79" i="6"/>
  <c r="F78" i="6"/>
  <c r="F77" i="6"/>
  <c r="F76" i="6"/>
  <c r="F75" i="6"/>
  <c r="F74" i="6"/>
  <c r="F73" i="6"/>
  <c r="F72" i="6"/>
  <c r="K8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9" i="4"/>
  <c r="F38" i="4"/>
  <c r="F37" i="4"/>
  <c r="F36" i="4"/>
  <c r="F35" i="4"/>
  <c r="F34" i="4"/>
  <c r="F45" i="4"/>
  <c r="F44" i="4"/>
  <c r="F43" i="4"/>
  <c r="F42" i="4"/>
  <c r="F41" i="4"/>
  <c r="F40" i="4"/>
  <c r="F47" i="5"/>
  <c r="F64" i="5"/>
  <c r="F63" i="5"/>
  <c r="F62" i="5"/>
  <c r="F61" i="5"/>
  <c r="F60" i="5"/>
  <c r="F86" i="5"/>
  <c r="F85" i="5"/>
  <c r="F84" i="5"/>
  <c r="F83" i="5"/>
  <c r="F82" i="5"/>
  <c r="F78" i="5"/>
  <c r="F77" i="5"/>
  <c r="F76" i="5"/>
  <c r="F75" i="5"/>
  <c r="F74" i="5"/>
  <c r="F73" i="5"/>
  <c r="F72" i="5"/>
  <c r="F71" i="5"/>
  <c r="F70" i="5"/>
  <c r="K12" i="4"/>
  <c r="K11" i="4"/>
  <c r="K10" i="4"/>
  <c r="K9" i="4"/>
  <c r="K17" i="4"/>
  <c r="K16" i="4"/>
  <c r="K15" i="4"/>
  <c r="K14" i="4"/>
  <c r="K8" i="4"/>
  <c r="F69" i="4"/>
  <c r="F51" i="4"/>
  <c r="F50" i="4"/>
  <c r="F49" i="4"/>
  <c r="F48" i="4"/>
  <c r="F47" i="4"/>
  <c r="F46" i="4"/>
  <c r="F78" i="4"/>
  <c r="F77" i="4"/>
  <c r="F76" i="4"/>
  <c r="F75" i="4"/>
  <c r="F74" i="4"/>
  <c r="F73" i="4"/>
  <c r="F72" i="4"/>
  <c r="F71" i="4"/>
  <c r="F70" i="4"/>
  <c r="N18" i="9" l="1"/>
  <c r="M18" i="9"/>
  <c r="M13" i="9"/>
  <c r="L18" i="9"/>
  <c r="N13" i="9"/>
  <c r="N19" i="9" s="1"/>
  <c r="L13" i="9"/>
  <c r="L13" i="5"/>
  <c r="K13" i="6"/>
  <c r="L13" i="6"/>
  <c r="K18" i="6"/>
  <c r="L18" i="6"/>
  <c r="K13" i="5"/>
  <c r="K18" i="5"/>
  <c r="L18" i="5"/>
  <c r="M19" i="9" l="1"/>
  <c r="L19" i="9"/>
  <c r="K92" i="9"/>
  <c r="K91" i="9"/>
  <c r="K90" i="9"/>
  <c r="K89" i="9"/>
  <c r="L19" i="5"/>
  <c r="L19" i="6"/>
  <c r="J100" i="6" s="1"/>
  <c r="K19" i="6"/>
  <c r="J84" i="6" s="1"/>
  <c r="K19" i="5"/>
  <c r="J79" i="5" l="1"/>
  <c r="J80" i="5"/>
  <c r="J81" i="5"/>
  <c r="J86" i="5"/>
  <c r="J75" i="5"/>
  <c r="J67" i="5"/>
  <c r="J59" i="5"/>
  <c r="J51" i="5"/>
  <c r="J43" i="5"/>
  <c r="J34" i="5"/>
  <c r="J62" i="5"/>
  <c r="J46" i="5"/>
  <c r="J52" i="5"/>
  <c r="J35" i="5"/>
  <c r="J85" i="5"/>
  <c r="J74" i="5"/>
  <c r="J66" i="5"/>
  <c r="J58" i="5"/>
  <c r="J50" i="5"/>
  <c r="J42" i="5"/>
  <c r="J33" i="5"/>
  <c r="J83" i="5"/>
  <c r="J64" i="5"/>
  <c r="J48" i="5"/>
  <c r="J39" i="5"/>
  <c r="J84" i="5"/>
  <c r="J73" i="5"/>
  <c r="J65" i="5"/>
  <c r="J57" i="5"/>
  <c r="J49" i="5"/>
  <c r="J41" i="5"/>
  <c r="J32" i="5"/>
  <c r="J72" i="5"/>
  <c r="J56" i="5"/>
  <c r="J40" i="5"/>
  <c r="J82" i="5"/>
  <c r="J71" i="5"/>
  <c r="J63" i="5"/>
  <c r="J55" i="5"/>
  <c r="J47" i="5"/>
  <c r="J38" i="5"/>
  <c r="J70" i="5"/>
  <c r="J54" i="5"/>
  <c r="J37" i="5"/>
  <c r="J68" i="5"/>
  <c r="J44" i="5"/>
  <c r="J78" i="5"/>
  <c r="J77" i="5"/>
  <c r="J69" i="5"/>
  <c r="J61" i="5"/>
  <c r="J53" i="5"/>
  <c r="J45" i="5"/>
  <c r="J36" i="5"/>
  <c r="J31" i="5"/>
  <c r="J76" i="5"/>
  <c r="J60" i="5"/>
  <c r="K80" i="9"/>
  <c r="K81" i="9"/>
  <c r="K79" i="9"/>
  <c r="K78" i="9"/>
  <c r="L80" i="9"/>
  <c r="L79" i="9"/>
  <c r="L81" i="9"/>
  <c r="J69" i="6"/>
  <c r="J85" i="6"/>
  <c r="J83" i="6"/>
  <c r="J71" i="6"/>
  <c r="J70" i="6"/>
  <c r="J68" i="6"/>
  <c r="J89" i="6"/>
  <c r="J78" i="6"/>
  <c r="J66" i="6"/>
  <c r="J58" i="6"/>
  <c r="J50" i="6"/>
  <c r="J42" i="6"/>
  <c r="J34" i="6"/>
  <c r="J88" i="6"/>
  <c r="J77" i="6"/>
  <c r="J65" i="6"/>
  <c r="J57" i="6"/>
  <c r="J49" i="6"/>
  <c r="J41" i="6"/>
  <c r="J33" i="6"/>
  <c r="J87" i="6"/>
  <c r="J76" i="6"/>
  <c r="J64" i="6"/>
  <c r="J56" i="6"/>
  <c r="J48" i="6"/>
  <c r="J40" i="6"/>
  <c r="J32" i="6"/>
  <c r="J86" i="6"/>
  <c r="J75" i="6"/>
  <c r="J63" i="6"/>
  <c r="J55" i="6"/>
  <c r="J47" i="6"/>
  <c r="J39" i="6"/>
  <c r="J31" i="6"/>
  <c r="J72" i="6"/>
  <c r="J44" i="6"/>
  <c r="J79" i="6"/>
  <c r="J51" i="6"/>
  <c r="J82" i="6"/>
  <c r="J74" i="6"/>
  <c r="J62" i="6"/>
  <c r="J54" i="6"/>
  <c r="J46" i="6"/>
  <c r="J38" i="6"/>
  <c r="J73" i="6"/>
  <c r="J61" i="6"/>
  <c r="J53" i="6"/>
  <c r="J45" i="6"/>
  <c r="J37" i="6"/>
  <c r="J80" i="6"/>
  <c r="J60" i="6"/>
  <c r="J52" i="6"/>
  <c r="J36" i="6"/>
  <c r="J67" i="6"/>
  <c r="J59" i="6"/>
  <c r="J43" i="6"/>
  <c r="J35" i="6"/>
  <c r="J81" i="6"/>
  <c r="L34" i="9"/>
  <c r="L30" i="9"/>
  <c r="K77" i="9"/>
  <c r="K76" i="9"/>
  <c r="K56" i="9"/>
  <c r="K48" i="9"/>
  <c r="K40" i="9"/>
  <c r="K32" i="9"/>
  <c r="K63" i="9"/>
  <c r="K55" i="9"/>
  <c r="K47" i="9"/>
  <c r="K39" i="9"/>
  <c r="K31" i="9"/>
  <c r="K74" i="9"/>
  <c r="K62" i="9"/>
  <c r="K54" i="9"/>
  <c r="K46" i="9"/>
  <c r="K38" i="9"/>
  <c r="K73" i="9"/>
  <c r="K53" i="9"/>
  <c r="K37" i="9"/>
  <c r="K60" i="9"/>
  <c r="K52" i="9"/>
  <c r="K36" i="9"/>
  <c r="K75" i="9"/>
  <c r="K85" i="9"/>
  <c r="K84" i="9"/>
  <c r="K83" i="9"/>
  <c r="K82" i="9"/>
  <c r="K71" i="9"/>
  <c r="K59" i="9"/>
  <c r="K51" i="9"/>
  <c r="K43" i="9"/>
  <c r="K35" i="9"/>
  <c r="K70" i="9"/>
  <c r="K58" i="9"/>
  <c r="K50" i="9"/>
  <c r="K42" i="9"/>
  <c r="K34" i="9"/>
  <c r="K69" i="9"/>
  <c r="K57" i="9"/>
  <c r="K49" i="9"/>
  <c r="K41" i="9"/>
  <c r="K33" i="9"/>
  <c r="K61" i="9"/>
  <c r="K45" i="9"/>
  <c r="K72" i="9"/>
  <c r="K44" i="9"/>
  <c r="J30" i="6"/>
  <c r="J94" i="6"/>
  <c r="I91" i="5"/>
  <c r="I90" i="5"/>
  <c r="K30" i="9"/>
  <c r="L39" i="9"/>
  <c r="L75" i="9"/>
  <c r="L41" i="9"/>
  <c r="L77" i="9"/>
  <c r="L74" i="9"/>
  <c r="L46" i="9"/>
  <c r="L50" i="9"/>
  <c r="L42" i="9"/>
  <c r="L33" i="9"/>
  <c r="L58" i="9"/>
  <c r="L52" i="9"/>
  <c r="L76" i="9"/>
  <c r="L61" i="9"/>
  <c r="L36" i="9"/>
  <c r="L72" i="9"/>
  <c r="L85" i="9"/>
  <c r="L38" i="9"/>
  <c r="L49" i="9"/>
  <c r="L37" i="9"/>
  <c r="L71" i="9"/>
  <c r="L73" i="9"/>
  <c r="L54" i="9"/>
  <c r="L45" i="9"/>
  <c r="L83" i="9"/>
  <c r="L59" i="9"/>
  <c r="L69" i="9"/>
  <c r="L43" i="9"/>
  <c r="L82" i="9"/>
  <c r="L51" i="9"/>
  <c r="L31" i="9"/>
  <c r="L32" i="9"/>
  <c r="L63" i="9"/>
  <c r="L78" i="9"/>
  <c r="L53" i="9"/>
  <c r="L57" i="9"/>
  <c r="L35" i="9"/>
  <c r="L40" i="9"/>
  <c r="L48" i="9"/>
  <c r="L62" i="9"/>
  <c r="L55" i="9"/>
  <c r="L56" i="9"/>
  <c r="L70" i="9"/>
  <c r="L60" i="9"/>
  <c r="L44" i="9"/>
  <c r="L47" i="9"/>
  <c r="L84" i="9"/>
  <c r="I92" i="5"/>
  <c r="I93" i="5"/>
  <c r="J101" i="6"/>
  <c r="J98" i="6"/>
  <c r="J99" i="6"/>
  <c r="J95" i="6"/>
  <c r="J93" i="6"/>
  <c r="F33" i="4" l="1"/>
  <c r="F32" i="4"/>
  <c r="F31" i="4"/>
  <c r="F30" i="4"/>
  <c r="F58" i="2" l="1"/>
  <c r="F57" i="2"/>
  <c r="F56" i="2"/>
  <c r="F55" i="2"/>
  <c r="F54" i="2"/>
  <c r="F53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I17" i="2"/>
  <c r="I16" i="2"/>
  <c r="I15" i="2"/>
  <c r="I14" i="2"/>
  <c r="I12" i="2"/>
  <c r="I13" i="2" s="1"/>
  <c r="L18" i="4" l="1"/>
  <c r="L13" i="4"/>
  <c r="K13" i="4"/>
  <c r="K18" i="4"/>
  <c r="I18" i="2"/>
  <c r="L19" i="4" l="1"/>
  <c r="I82" i="4" s="1"/>
  <c r="K19" i="4"/>
  <c r="J68" i="4" s="1"/>
  <c r="I19" i="2"/>
  <c r="J60" i="4" l="1"/>
  <c r="J59" i="4"/>
  <c r="J63" i="4"/>
  <c r="J67" i="4"/>
  <c r="J64" i="4"/>
  <c r="J66" i="4"/>
  <c r="J65" i="4"/>
  <c r="J61" i="4"/>
  <c r="J62" i="4"/>
  <c r="I67" i="2"/>
  <c r="I52" i="2"/>
  <c r="I51" i="2"/>
  <c r="I50" i="2"/>
  <c r="I49" i="2"/>
  <c r="I48" i="2"/>
  <c r="I47" i="2"/>
  <c r="J58" i="4"/>
  <c r="J57" i="4"/>
  <c r="J56" i="4"/>
  <c r="J55" i="4"/>
  <c r="J54" i="4"/>
  <c r="J53" i="4"/>
  <c r="J52" i="4"/>
  <c r="J39" i="4"/>
  <c r="J36" i="4"/>
  <c r="J38" i="4"/>
  <c r="J37" i="4"/>
  <c r="J35" i="4"/>
  <c r="J34" i="4"/>
  <c r="J69" i="4"/>
  <c r="J45" i="4"/>
  <c r="J41" i="4"/>
  <c r="J44" i="4"/>
  <c r="J40" i="4"/>
  <c r="J43" i="4"/>
  <c r="J42" i="4"/>
  <c r="I83" i="4"/>
  <c r="I84" i="4"/>
  <c r="I85" i="4"/>
  <c r="J50" i="4"/>
  <c r="J74" i="4"/>
  <c r="J48" i="4"/>
  <c r="J72" i="4"/>
  <c r="J49" i="4"/>
  <c r="J73" i="4"/>
  <c r="J47" i="4"/>
  <c r="J71" i="4"/>
  <c r="J78" i="4"/>
  <c r="J70" i="4"/>
  <c r="J75" i="4"/>
  <c r="J77" i="4"/>
  <c r="J46" i="4"/>
  <c r="J76" i="4"/>
  <c r="J51" i="4"/>
  <c r="J30" i="4"/>
  <c r="J33" i="4"/>
  <c r="J31" i="4"/>
  <c r="J32" i="4"/>
  <c r="I31" i="2"/>
  <c r="I63" i="2"/>
  <c r="I41" i="2"/>
  <c r="I58" i="2"/>
  <c r="I27" i="2"/>
  <c r="I55" i="2"/>
  <c r="I37" i="2"/>
  <c r="I64" i="2"/>
  <c r="I32" i="2"/>
  <c r="I36" i="2"/>
  <c r="I65" i="2"/>
  <c r="I35" i="2"/>
  <c r="I61" i="2"/>
  <c r="I66" i="2"/>
  <c r="I29" i="2"/>
  <c r="I54" i="2"/>
  <c r="I56" i="2"/>
  <c r="I44" i="2"/>
  <c r="I43" i="2"/>
  <c r="I30" i="2"/>
  <c r="I33" i="2"/>
  <c r="I42" i="2"/>
  <c r="I40" i="2"/>
  <c r="I62" i="2"/>
  <c r="I28" i="2"/>
  <c r="I53" i="2"/>
  <c r="I38" i="2"/>
  <c r="I39" i="2"/>
  <c r="I34" i="2"/>
  <c r="I57" i="2"/>
</calcChain>
</file>

<file path=xl/sharedStrings.xml><?xml version="1.0" encoding="utf-8"?>
<sst xmlns="http://schemas.openxmlformats.org/spreadsheetml/2006/main" count="1139" uniqueCount="454">
  <si>
    <t xml:space="preserve">   Bearbeiter:</t>
  </si>
  <si>
    <t xml:space="preserve">Terrasse: </t>
  </si>
  <si>
    <t>Kurzbezeichnung</t>
  </si>
  <si>
    <t>Artikelnr.</t>
  </si>
  <si>
    <t>ASSYplus 4 A2 SRCS</t>
  </si>
  <si>
    <t>SHR-TERRASSE-BSP-FRT-A2-RW20-5,5X45/23</t>
  </si>
  <si>
    <t>SHR-TERRASSE-BSP-FRT-A2-RW20-5,5X40/18</t>
  </si>
  <si>
    <t>0166815540</t>
  </si>
  <si>
    <t>SHR-TERRASSE-BSP-FRT-A2-RW20-5,5X50/23</t>
  </si>
  <si>
    <t>0166815550</t>
  </si>
  <si>
    <t>SHR-TERRASSE-BSP-FRT-A2-RW20-5,5X60/33</t>
  </si>
  <si>
    <t>0166815560</t>
  </si>
  <si>
    <t>SHR-TERRASSE-BSP-FRT-A2-RW20-5,5X70/33</t>
  </si>
  <si>
    <t>0166815570</t>
  </si>
  <si>
    <t>SHR-TERRASSE-BSP-FRT-A2-RW20-5,5X80/38</t>
  </si>
  <si>
    <t>0166815580</t>
  </si>
  <si>
    <t>SHR-TERRASSE-BSP-FRT-A2-RW20-5,5X90/38</t>
  </si>
  <si>
    <t>0166815590</t>
  </si>
  <si>
    <t>SHR-TERRASSE-BSP-FRT-A2-RW20-5,5X100/38</t>
  </si>
  <si>
    <t>0166815510</t>
  </si>
  <si>
    <t>ASSYplus 4 A4 SRCS</t>
  </si>
  <si>
    <t>SHR-TERRASSE-BSP-FRT-A4-RW20-5,5X40/18</t>
  </si>
  <si>
    <t>0169025540</t>
  </si>
  <si>
    <t>Tropenholz</t>
  </si>
  <si>
    <t>SHR-TERRASSE-BSP-FRT-A4-RW20-5,5X45/23</t>
  </si>
  <si>
    <t>SHR-TERRASSE-BSP-FRT-A4-RW20-5,5X50/23</t>
  </si>
  <si>
    <t>0169025550</t>
  </si>
  <si>
    <t>SHR-TERRASSE-BSP-FRT-A4-RW20-5,5X60/33</t>
  </si>
  <si>
    <t>0169025560</t>
  </si>
  <si>
    <t>SHR-TERRASSE-BSP-FRT-A4-RW20-5,5X70/33</t>
  </si>
  <si>
    <t>0169025570</t>
  </si>
  <si>
    <t>SHR-TERRASSE-BSP-FRT-A4-RW20-5,5X80/38</t>
  </si>
  <si>
    <t>0169025580</t>
  </si>
  <si>
    <t xml:space="preserve">SHR-TERRASSE-BSP-ZYLKPF-A2-RW20-5,5X50   </t>
  </si>
  <si>
    <t xml:space="preserve">SHR-TERRASSE-BSP-ZYLKPF-A2-RW20-5,5X60   </t>
  </si>
  <si>
    <t xml:space="preserve">SHR-TERRASSE-BSP-ZYLKPF-A2-RW20-5,5X70   </t>
  </si>
  <si>
    <t>0166825570</t>
  </si>
  <si>
    <t xml:space="preserve">SHR-TERRASSE-BSP-ZYLKPF-A2-RW20-5,5X80   </t>
  </si>
  <si>
    <t>0166825580</t>
  </si>
  <si>
    <t>Für Thermoholz, gerade kurze Douglasiendielen</t>
  </si>
  <si>
    <t>SHR-SEKPF60-FRSK-BSP-P-A4-RW20-4,5X40/18</t>
  </si>
  <si>
    <t>0169404540</t>
  </si>
  <si>
    <t>SHR-SEKPF60-FRSK-BSP-P-A4-RW20-4,5X45/18</t>
  </si>
  <si>
    <t>0169404545</t>
  </si>
  <si>
    <t>SHR-SEKPF60-FRSK-BSP-P-A4-RW20-4,5X50/21</t>
  </si>
  <si>
    <t>0169404550</t>
  </si>
  <si>
    <t>SHR-SEKPF60-FRSK-BSP-P-A4-RW20-4,5X60/24</t>
  </si>
  <si>
    <t>0169404560</t>
  </si>
  <si>
    <t>SHR-SEKPF60-FRSK-BSP-P-A4-RW20-4,5X70/24</t>
  </si>
  <si>
    <t>0169404570</t>
  </si>
  <si>
    <t>SHR-SEKPF60-FRSK-BSP-P-A4-RW20-4,5X80/24</t>
  </si>
  <si>
    <t>0169404580</t>
  </si>
  <si>
    <t>ASSY 4 A2 WH</t>
  </si>
  <si>
    <t>SHR-SK-HO-A2-RW40-8X80/50</t>
  </si>
  <si>
    <t>018181880</t>
  </si>
  <si>
    <t>SHR-SK-HO-A2-RW40-8X100/60</t>
  </si>
  <si>
    <t>0181818100</t>
  </si>
  <si>
    <t>SHR-SK-HO-A2-RW40-8X120/80</t>
  </si>
  <si>
    <t>0181818120</t>
  </si>
  <si>
    <t>SHR-SK-HO-A2-RW40-8X140/80</t>
  </si>
  <si>
    <t>0181818140</t>
  </si>
  <si>
    <t>SHR-SK-HO-A2-RW40-8X160/80</t>
  </si>
  <si>
    <t>0181818160</t>
  </si>
  <si>
    <t>SHR-SK-HO-A2-RW40-8X180/80</t>
  </si>
  <si>
    <t>0181818180</t>
  </si>
  <si>
    <t>SHR-SK-HO-A2-RW40-8X200/80</t>
  </si>
  <si>
    <t>0181818200</t>
  </si>
  <si>
    <t xml:space="preserve">     </t>
  </si>
  <si>
    <t xml:space="preserve">Kunde: </t>
  </si>
  <si>
    <t>Datum:</t>
  </si>
  <si>
    <t>Fläche 1, Rechteck</t>
  </si>
  <si>
    <t>Fläche 3, Rechteck</t>
  </si>
  <si>
    <t>Fläche 6, Dreieck</t>
  </si>
  <si>
    <t>Fläche 7, Dreieck</t>
  </si>
  <si>
    <t>Fläche 8, Dreieck</t>
  </si>
  <si>
    <t>Eingabefelder</t>
  </si>
  <si>
    <t>Σ □ + △ =</t>
  </si>
  <si>
    <t>Artikel. Nr.</t>
  </si>
  <si>
    <t>Paketanzahl</t>
  </si>
  <si>
    <t xml:space="preserve">aufgerundete Paketanzahl </t>
  </si>
  <si>
    <t>Fläche 2, Rechteck</t>
  </si>
  <si>
    <t>Fläche 4, Rechteck</t>
  </si>
  <si>
    <t>Fläche 5, Rechteck</t>
  </si>
  <si>
    <t>Fugenbreite [mm]</t>
  </si>
  <si>
    <t>Länge der Fassade [cm]</t>
  </si>
  <si>
    <t>Höhe der Fassade [cm]</t>
  </si>
  <si>
    <t>Fassadenschraube</t>
  </si>
  <si>
    <t>SHR-KLLISEKPF-BSP-A2-RW20-4X50/26</t>
  </si>
  <si>
    <t>016644050</t>
  </si>
  <si>
    <t>SHR-KLLISEKPF-BSP-A2-RW20-4,5X50/24</t>
  </si>
  <si>
    <t>016644550</t>
  </si>
  <si>
    <t>SHR-KLLISEKPF-BSP-A2-RW20-4,5X60/29</t>
  </si>
  <si>
    <t>SHR-KLLISEKPF-BSP-A2-RW20-4,5X70/34</t>
  </si>
  <si>
    <t>016644570</t>
  </si>
  <si>
    <t>SHR-KLLISEKPF-BSP-A2-RW20-4,5X80/39</t>
  </si>
  <si>
    <t>016644580</t>
  </si>
  <si>
    <t>ASSYPLUS 4 A2 SRCS</t>
  </si>
  <si>
    <t>SHR-TOPHEAD-BSP-HO-A2-RW10-3,5X60/27</t>
  </si>
  <si>
    <t>0166135060</t>
  </si>
  <si>
    <t>ASSYPLUS 4 A2 TH</t>
  </si>
  <si>
    <t>ASSYplus 4 A2 CH</t>
  </si>
  <si>
    <t>SHR-SEKPF-HO-A2-RW20-4X55/39</t>
  </si>
  <si>
    <t>018744055</t>
  </si>
  <si>
    <t>SHR-SEKPF-HO-A2-RW20-4X60/39</t>
  </si>
  <si>
    <t>018744060</t>
  </si>
  <si>
    <t>SHR-SEKPF-HO-A2-RW20-4X70/39</t>
  </si>
  <si>
    <t>018744070</t>
  </si>
  <si>
    <t>SHR-SEKPF-HO-A2-RW20-4,5X60/38</t>
  </si>
  <si>
    <t>018744560</t>
  </si>
  <si>
    <t>SHR-SEKPF-HO-A2-RW20-4,5X70/43</t>
  </si>
  <si>
    <t>018744570</t>
  </si>
  <si>
    <t>SHR-SEKPF-HO-A2-RW20-4,5X80/48</t>
  </si>
  <si>
    <t>018744580</t>
  </si>
  <si>
    <t>ASSY 4 A2 CS</t>
  </si>
  <si>
    <t>https://www.wuerth.de/web/media/downloads/pdf/Befestigung_von_Fassaden_mit_ASSY_Holzbauschrauben_2019-04-01_DE.pdf</t>
  </si>
  <si>
    <t>SHR-LISEKPF-HO-A2-RW20-4X60/39</t>
  </si>
  <si>
    <t>018764060</t>
  </si>
  <si>
    <t>SHR-LISEKPF-HO-A2-RW20-4X70/39</t>
  </si>
  <si>
    <t>018764070</t>
  </si>
  <si>
    <t>SHR-LISEKPF-HO-A2-RW20-4,5X60/38</t>
  </si>
  <si>
    <t>018764560</t>
  </si>
  <si>
    <t>SHR-LISEKPF-HO-A2-RW20-4,5X70/43</t>
  </si>
  <si>
    <t>018764570</t>
  </si>
  <si>
    <t>SHR-LISEKPF-HO-A2-RW20-4,5X80/48</t>
  </si>
  <si>
    <t>018764580</t>
  </si>
  <si>
    <t>ASSY 4 A2 RCS</t>
  </si>
  <si>
    <t>SHR-SEKPF-HCR-1.4529-RW20-4X60/39</t>
  </si>
  <si>
    <t>0187904060</t>
  </si>
  <si>
    <t>SHR-SEKPF-HCR-1.4529-RW20-5X60/37</t>
  </si>
  <si>
    <t>0187905060</t>
  </si>
  <si>
    <t>SHR-SEKPF-HCR-1.4529-RW20-5X70/42</t>
  </si>
  <si>
    <t>0187905070</t>
  </si>
  <si>
    <t>SHR-SEKPF-HCR-1.4529-RW20-5X80/50</t>
  </si>
  <si>
    <t>0187905080</t>
  </si>
  <si>
    <t>ASSY 4 HCR 1.4529 CS</t>
  </si>
  <si>
    <t xml:space="preserve">Edelstahl Fassadenschrauben </t>
  </si>
  <si>
    <t>Zeile aus unterer Vorlage</t>
  </si>
  <si>
    <t xml:space="preserve">Paket- anzahl </t>
  </si>
  <si>
    <t>Schalung:</t>
  </si>
  <si>
    <t>Randbereiche / Stöße:</t>
  </si>
  <si>
    <t>Feld:</t>
  </si>
  <si>
    <t>Unterkonstruktion:</t>
  </si>
  <si>
    <t>ASSYplus 4 A2 RCS° 4x60 mm</t>
  </si>
  <si>
    <t>ASSY 4 A2 CS Senkkopf 4x60 mm</t>
  </si>
  <si>
    <t>Art. Nr. 0187 440 60</t>
  </si>
  <si>
    <t>Art. Nr. 0166 445 60</t>
  </si>
  <si>
    <t>Stahlschrauben Grund-/Traglatte</t>
  </si>
  <si>
    <t xml:space="preserve"> Paket-anzahl </t>
  </si>
  <si>
    <t>SHR-SEKPF-FRT-P-RW20-(A3K)-4,5X60/28</t>
  </si>
  <si>
    <t>0190404560</t>
  </si>
  <si>
    <t>SHR-SEKPF-FRT-P-RW20-(A3K)-4,5X70/28</t>
  </si>
  <si>
    <t>0190404570</t>
  </si>
  <si>
    <t>SHR-SEKPF-FRT-P-RW20-(A2K)-4X60/30</t>
  </si>
  <si>
    <t>SHR-SEKPF-FRT-P-RW20-(A2K)-4X70/30</t>
  </si>
  <si>
    <t>ASSY 4  P CSMP</t>
  </si>
  <si>
    <t>≤ 0,25 kN/m²</t>
  </si>
  <si>
    <t>≤ 0,50 kN/m²</t>
  </si>
  <si>
    <t>≤ 62,5 cm</t>
  </si>
  <si>
    <t>≤ 106 cm</t>
  </si>
  <si>
    <t>≤ 0,65 kN/m²</t>
  </si>
  <si>
    <t>≤ 0,80 kN/m²</t>
  </si>
  <si>
    <t>≤ 0,90 kN/m²</t>
  </si>
  <si>
    <t>Randbedingungen</t>
  </si>
  <si>
    <t>·</t>
  </si>
  <si>
    <t>Traglattung Nadelholz C24 60/40mm.</t>
  </si>
  <si>
    <t>Mindestabstand der Schrauben untereinander und  zum Hirnholzende mindestens 12 cm bei horizontale Traglattung                            (25xd2 mit d2 = 4,7 mm) und 10 cm bei vertikaler Traglatte (25xd1 mit d1 = 4 mm).</t>
  </si>
  <si>
    <t>Eigengewicht der Fassadenkonstruktion maximal 0,25 KN/m² bzw. 0,50 kN/m².</t>
  </si>
  <si>
    <t>Böengeschwindigkeitsdruck max. 0,65 kN/m² (z.B. Windzone 1, Gebäudehöhe bis 18 m), 0,80 kN/m² (z.B. Windzone 2, Gebäudehöhe bis 18 m) oder 0,90 kN/m² (z.B. Windzone 2, Gebäudehöhe unter 25 m).</t>
  </si>
  <si>
    <t>Die angegebenen Schraubenabstände gelten für die ungünstigsten Druck- und Sogbeiwerte.</t>
  </si>
  <si>
    <t>Grundlatte mindestens Nadelholz C24. Mindestquerschnitt 40/60 mm. Maximaler Grundlattenabstand 62,5 cm bzw. 106 cm.</t>
  </si>
  <si>
    <t xml:space="preserve">Eigengewicht Fassade </t>
  </si>
  <si>
    <t>Befestigung Grund / Traglattung mit Würth ASSY 4 P CSMP 4x70mm; Art. Nr.: 0190 404 70</t>
  </si>
  <si>
    <t>Art. Nr. 0190 404 70</t>
  </si>
  <si>
    <t xml:space="preserve">ASSY 4 P CSMP 4,0x70 mm Senkkopf </t>
  </si>
  <si>
    <t>ASSYplus 4 A2 P CSMR60  4x60mm</t>
  </si>
  <si>
    <t>SHR-SEKPF60-FRSK-BSP-P-A2-RW20-4X40/18</t>
  </si>
  <si>
    <t>0166404040</t>
  </si>
  <si>
    <t>SHR-SEKPF60-FRSK-BSP-P-A2-RW20-4X45/18</t>
  </si>
  <si>
    <t>0166404045</t>
  </si>
  <si>
    <t>SHR-SEKPF60-FRSK-BSP-P-A2-RW20-4X50/21</t>
  </si>
  <si>
    <t>0166404050</t>
  </si>
  <si>
    <t>SHR-SEKPF60-FRSK-BSP-P-A2-RW20-4X60/24</t>
  </si>
  <si>
    <t>0166404060</t>
  </si>
  <si>
    <t>SHR-SEKPF60-FRSK-BSP-P-A2-RW20-4,5X40/18</t>
  </si>
  <si>
    <t>0166404540</t>
  </si>
  <si>
    <t>SHR-SEKPF60-FRSK-BSP-P-A2-RW20-4,5X45/18</t>
  </si>
  <si>
    <t>0166404545</t>
  </si>
  <si>
    <t>SHR-SEKPF60-FRSK-BSP-P-A2-RW20-4,5X50/21</t>
  </si>
  <si>
    <t>0166404550</t>
  </si>
  <si>
    <t>SHR-SEKPF60-FRSK-BSP-P-A2-RW20-4,5X60/24</t>
  </si>
  <si>
    <t>0166404560</t>
  </si>
  <si>
    <t>SHR-SEKPF60-FRSK-BSP-P-A2-RW20-4,5X70/24</t>
  </si>
  <si>
    <t>0166404570</t>
  </si>
  <si>
    <t>SHR-SEKPF60-FRSK-BSP-P-A2-RW20-4,5X80/24</t>
  </si>
  <si>
    <t>0166404580</t>
  </si>
  <si>
    <t>ASSYplus 4 A2 P CSMR60  4,5x80mm</t>
  </si>
  <si>
    <t>Art. Nr. 0166 404 580</t>
  </si>
  <si>
    <t>Art. Nr. 0166 404 060</t>
  </si>
  <si>
    <t>Überlappung [mm]</t>
  </si>
  <si>
    <t>Fassadenschraube kurz</t>
  </si>
  <si>
    <t>Fassadenschraube lang</t>
  </si>
  <si>
    <t>SHR-SEKPF-BSP-FRSK-A2-RW20-4X30/15</t>
  </si>
  <si>
    <t>SHR-SEKPF-BSP-FRSK-A2-RW20-4X35/18</t>
  </si>
  <si>
    <t>016634035</t>
  </si>
  <si>
    <t>SHR-SEKPF-BSP-FRSK-A2-RW20-4X40/21</t>
  </si>
  <si>
    <t>016634040</t>
  </si>
  <si>
    <t>SHR-SEKPF-BSP-FRSK-A2-RW20-4X45/26</t>
  </si>
  <si>
    <t>016634045</t>
  </si>
  <si>
    <t>SHR-SEKPF-BSP-FRSK-A2-RW20-4X50/26</t>
  </si>
  <si>
    <t>SHR-SEKPF-BSP-FRSK-A2-RW20-4X60/31</t>
  </si>
  <si>
    <t>016634060</t>
  </si>
  <si>
    <t>SHR-SEKPF-BSP-FRSK-A2-RW20-4,5X40/22</t>
  </si>
  <si>
    <t>SHR-SEKPF-BSP-FRSK-A2-RW20-4,5X45/22</t>
  </si>
  <si>
    <t>016634545</t>
  </si>
  <si>
    <t>SHR-SEKPF-BSP-FRSK-A2-RW20-4,5X50/24</t>
  </si>
  <si>
    <t>016634550</t>
  </si>
  <si>
    <t>SHR-SEKPF-BSP-FRSK-A2-RW20-4,5X60/29</t>
  </si>
  <si>
    <t>016634560</t>
  </si>
  <si>
    <t>SHR-SEKPF-BSP-FRSK-A2-RW20-4,5X70/34</t>
  </si>
  <si>
    <t>016634570</t>
  </si>
  <si>
    <t>SHR-SEKPF-BSP-FRSK-A2-RW20-4,5X80/39</t>
  </si>
  <si>
    <t>016634580</t>
  </si>
  <si>
    <t>ASSYplus 4 A2 CSMR</t>
  </si>
  <si>
    <t>Art. Nr. 0166 340 45</t>
  </si>
  <si>
    <t>Beispiel einer 20mm starken Stülpschalung</t>
  </si>
  <si>
    <t>SHR-SEKPF60-FRSK-BSP-P-A2-RW10-3,5X40/18</t>
  </si>
  <si>
    <t>0166403540</t>
  </si>
  <si>
    <t>SHR-SEKPF60-FRSK-BSP-P-A2-RW10-3,5X45/18</t>
  </si>
  <si>
    <t>0166403545</t>
  </si>
  <si>
    <t>SHR-SEKPF60-FRSK-BSP-P-A2-RW10-3,5X50/21</t>
  </si>
  <si>
    <t>0166403550</t>
  </si>
  <si>
    <t>SHR-SEKPF60-FRSK-BSP-P-A2-RW10-3,5X60/24</t>
  </si>
  <si>
    <t>0166403560</t>
  </si>
  <si>
    <t>Mindestabstand der Schrauben untereinander und  zum Hirnholzende mindestens 12 cm bei horizontale Traglattung (25xd2 mit d2 = 4,7 mm) und 10 cm bei vertikaler Traglatte (25xd1 mit d1 = 4 mm).</t>
  </si>
  <si>
    <t>0190403545</t>
  </si>
  <si>
    <t>ASSY 4 P CSMP</t>
  </si>
  <si>
    <t>SHR-SEKPF-FRT-P-RW20-(A2K)-3,5X40/23</t>
  </si>
  <si>
    <t>SHR-SEKPF-FRT-P-RW20-(A2K)-3,5X45/23</t>
  </si>
  <si>
    <t>SHR-SEKPF-FRT-P-RW20-(A2K)-3,5X50/23</t>
  </si>
  <si>
    <t xml:space="preserve">Stahl Fassadenschrauben </t>
  </si>
  <si>
    <t>Boden Deckel-Schalung; Leistenschalung</t>
  </si>
  <si>
    <t>Boden</t>
  </si>
  <si>
    <t>Linsenform</t>
  </si>
  <si>
    <t>kleiner Lisensenkkopf</t>
  </si>
  <si>
    <t>Zusammenzug</t>
  </si>
  <si>
    <t>kleiner Senkkopf</t>
  </si>
  <si>
    <t>nahe Randabstände</t>
  </si>
  <si>
    <t>ASSYplus 4 A2 P CSMR60 4x45 mm</t>
  </si>
  <si>
    <t>Deckel/ Leiste</t>
  </si>
  <si>
    <t xml:space="preserve">Breite Boden [cm] </t>
  </si>
  <si>
    <t xml:space="preserve"> Abstand vertikale   Grund-lattung [cm]</t>
  </si>
  <si>
    <t xml:space="preserve"> Abstand horizontale Grund- lattung [cm]</t>
  </si>
  <si>
    <t>Beispiel 20 mm starke Boden DeckelSchalung</t>
  </si>
  <si>
    <t xml:space="preserve">Deckel </t>
  </si>
  <si>
    <t>Beispiel Keilstülpschalung                 B = 146, H = 26mm</t>
  </si>
  <si>
    <t>Art. Nr. 0166 404 545</t>
  </si>
  <si>
    <t>ASSYplus 4 A2 P CSMR60 4,5x45 mm</t>
  </si>
  <si>
    <t>Art. Nr. 016 644 580</t>
  </si>
  <si>
    <t>ASSYplus 4 A2 CSMR 4,5x80 mm</t>
  </si>
  <si>
    <t xml:space="preserve">ASSY 4 P CSMP 4,0x70 mm </t>
  </si>
  <si>
    <t>Boden mit randnaher Verschraubung und Randbereiche / Stöße:</t>
  </si>
  <si>
    <t>Anmerkung: "Schaftteil" min. Grundlattenstärke</t>
  </si>
  <si>
    <t>Fassadenschraube zur Leisten/Deckel-Befestigung</t>
  </si>
  <si>
    <t>Fassadenschraube zur Boden-Befestigung</t>
  </si>
  <si>
    <t>Anmerkung: ca. lg + Schalungsstärke</t>
  </si>
  <si>
    <t>Fläche 9, Dreieck</t>
  </si>
  <si>
    <t>Keilstülpschalung/ Profilschalung</t>
  </si>
  <si>
    <t>Beispiel einer 24mm Rhomboidschalung</t>
  </si>
  <si>
    <t>Stülpschalung:</t>
  </si>
  <si>
    <t>Länge der Fassade       [cm]</t>
  </si>
  <si>
    <t>Abstand Ecklattung zur Fassaden-ecke        [cm]</t>
  </si>
  <si>
    <t xml:space="preserve"> Abstand horizontale  Grund- lattung             [cm]</t>
  </si>
  <si>
    <t>Abstand Ecklattung zur Fassaden-ecke          [cm]</t>
  </si>
  <si>
    <t xml:space="preserve">Breite         [cm] </t>
  </si>
  <si>
    <t>Fugenbreite  [mm]</t>
  </si>
  <si>
    <t xml:space="preserve">Dielenbreite [cm] </t>
  </si>
  <si>
    <t>Abstand der Unterkonstruktion [cm]</t>
  </si>
  <si>
    <t>Schraube für Grundlatte / Traglatte</t>
  </si>
  <si>
    <t>Zwischenergebnis ▲</t>
  </si>
  <si>
    <t>TIP: STAMISOL und Fassadenbahnen ansprechen</t>
  </si>
  <si>
    <t>1 Meter = 100cm</t>
  </si>
  <si>
    <t>1cm = 10mm</t>
  </si>
  <si>
    <t>Anmerkung: ca. Gewindelänge lg + Schalungsstärke</t>
  </si>
  <si>
    <t>Breite Deckel [cm]</t>
  </si>
  <si>
    <t>Schalung</t>
  </si>
  <si>
    <t>Grundlatte</t>
  </si>
  <si>
    <t>Traglatte</t>
  </si>
  <si>
    <t>Stärke in mm</t>
  </si>
  <si>
    <t>einfache Schalungsstärke</t>
  </si>
  <si>
    <t>Schrauben-länge [mm]</t>
  </si>
  <si>
    <t>max. Traglatten-stärke [mm]</t>
  </si>
  <si>
    <t>Deckel</t>
  </si>
  <si>
    <t>Schmalseite Schalung</t>
  </si>
  <si>
    <t>Schraube für Grundlatte /Traglatte</t>
  </si>
  <si>
    <t>Schraube zu lang oder zu kurzer Schaft</t>
  </si>
  <si>
    <t>zu geringe Schaftlänge oder zu lange Schraube</t>
  </si>
  <si>
    <t>passende Schraube</t>
  </si>
  <si>
    <t>Stahlschrauben Trag-/Grundlatte</t>
  </si>
  <si>
    <t>Diele</t>
  </si>
  <si>
    <t>Hinweis: Keine Mengenberücksichtigung von Aussschnitten oder Randleisten, keine statische Betrachtung oder Berechnung der Anschlüsse.</t>
  </si>
  <si>
    <t>Zwischenergebnis ■</t>
  </si>
  <si>
    <t>max. Dielenstärke [mm]</t>
  </si>
  <si>
    <t>VE [St.]</t>
  </si>
  <si>
    <r>
      <t xml:space="preserve">ASSYplus 4 </t>
    </r>
    <r>
      <rPr>
        <b/>
        <sz val="8"/>
        <color theme="9"/>
        <rFont val="Arial"/>
        <family val="2"/>
      </rPr>
      <t>A2</t>
    </r>
    <r>
      <rPr>
        <b/>
        <sz val="8"/>
        <color theme="1"/>
        <rFont val="Arial"/>
        <family val="2"/>
      </rPr>
      <t xml:space="preserve"> P CSMR60</t>
    </r>
  </si>
  <si>
    <r>
      <t xml:space="preserve">ASSYplus 4 </t>
    </r>
    <r>
      <rPr>
        <b/>
        <sz val="8"/>
        <color rgb="FFFF0000"/>
        <rFont val="Arial"/>
        <family val="2"/>
      </rPr>
      <t>A4</t>
    </r>
    <r>
      <rPr>
        <b/>
        <sz val="8"/>
        <color theme="1"/>
        <rFont val="Arial"/>
        <family val="2"/>
      </rPr>
      <t xml:space="preserve"> P CSMR60</t>
    </r>
  </si>
  <si>
    <t>Unterkonstr.</t>
  </si>
  <si>
    <t>Für Thermoholzdielen</t>
  </si>
  <si>
    <t>Für starke Dielen z.B. 80mm</t>
  </si>
  <si>
    <t>Tipps und Tricks:</t>
  </si>
  <si>
    <t>Schraubenlänge l [mm]</t>
  </si>
  <si>
    <t>Distanzleiste</t>
  </si>
  <si>
    <t>Bearbeiter:</t>
  </si>
  <si>
    <t>SUMME</t>
  </si>
  <si>
    <t>Anzahl Dielen auf der Terrassenlänge [St.]</t>
  </si>
  <si>
    <t>Gesamt-anzahl Terrassen-schrauben [St.]</t>
  </si>
  <si>
    <t>Für Barfußläufer</t>
  </si>
  <si>
    <t>Modernere Optik</t>
  </si>
  <si>
    <t>Für Tropenholzdielen</t>
  </si>
  <si>
    <r>
      <t xml:space="preserve">Länge der Terrasse           [cm]                                                </t>
    </r>
    <r>
      <rPr>
        <i/>
        <sz val="8"/>
        <color rgb="FFFF0000"/>
        <rFont val="Arial"/>
        <family val="2"/>
      </rPr>
      <t>1m = 100cm</t>
    </r>
  </si>
  <si>
    <r>
      <t xml:space="preserve">Breite der Terrasse [cm]                                    </t>
    </r>
    <r>
      <rPr>
        <i/>
        <sz val="8"/>
        <color rgb="FFFF0000"/>
        <rFont val="Arial"/>
        <family val="2"/>
      </rPr>
      <t>1m = 100cm</t>
    </r>
  </si>
  <si>
    <r>
      <t>Grundlattenabstand e</t>
    </r>
    <r>
      <rPr>
        <vertAlign val="subscript"/>
        <sz val="8"/>
        <color theme="1"/>
        <rFont val="Arial"/>
        <family val="2"/>
      </rPr>
      <t>GL</t>
    </r>
  </si>
  <si>
    <r>
      <t>Böengeschwindigkeitsdruck q</t>
    </r>
    <r>
      <rPr>
        <vertAlign val="subscript"/>
        <sz val="8"/>
        <color theme="1"/>
        <rFont val="Arial"/>
        <family val="2"/>
      </rPr>
      <t>p,k</t>
    </r>
  </si>
  <si>
    <t>max. Schalungs-stärke (mm)</t>
  </si>
  <si>
    <r>
      <t xml:space="preserve">ASSYplus 4 </t>
    </r>
    <r>
      <rPr>
        <b/>
        <sz val="7"/>
        <color theme="9"/>
        <rFont val="Arial"/>
        <family val="2"/>
      </rPr>
      <t>A2</t>
    </r>
    <r>
      <rPr>
        <b/>
        <sz val="7"/>
        <color theme="1"/>
        <rFont val="Arial"/>
        <family val="2"/>
      </rPr>
      <t xml:space="preserve"> P CSMR60</t>
    </r>
  </si>
  <si>
    <r>
      <t xml:space="preserve">ASSYplus 4 </t>
    </r>
    <r>
      <rPr>
        <b/>
        <sz val="7"/>
        <color rgb="FFFF0000"/>
        <rFont val="Arial"/>
        <family val="2"/>
      </rPr>
      <t>A4</t>
    </r>
    <r>
      <rPr>
        <b/>
        <sz val="7"/>
        <color theme="1"/>
        <rFont val="Arial"/>
        <family val="2"/>
      </rPr>
      <t xml:space="preserve"> P CSMR60</t>
    </r>
  </si>
  <si>
    <t>Anzahl der Fassaden-schrauben            [St.]</t>
  </si>
  <si>
    <t>Anzahl der Traglattung/ Grundlattung-schrauben [St.]</t>
  </si>
  <si>
    <t>Schalungs-stöße [St.]</t>
  </si>
  <si>
    <t>max. Schalungs-stärke [mm]</t>
  </si>
  <si>
    <t>Offene Romboidfassade:</t>
  </si>
  <si>
    <t>Höhe  Fassade [cm]</t>
  </si>
  <si>
    <t>Länge  Fassade             [cm]</t>
  </si>
  <si>
    <t>Abstand   Grund- lattung              [cm]</t>
  </si>
  <si>
    <t>Abstand Trag-lattung [cm]</t>
  </si>
  <si>
    <t>Anzahl der Schrauben Trag-/ Grundlattung [St.]</t>
  </si>
  <si>
    <r>
      <t>Maximaler Abstand e</t>
    </r>
    <r>
      <rPr>
        <b/>
        <vertAlign val="subscript"/>
        <sz val="8"/>
        <color theme="1"/>
        <rFont val="Arial"/>
        <family val="2"/>
      </rPr>
      <t>L</t>
    </r>
    <r>
      <rPr>
        <b/>
        <sz val="8"/>
        <color theme="1"/>
        <rFont val="Arial"/>
        <family val="2"/>
      </rPr>
      <t xml:space="preserve"> der horizontalen Traglatten in cm</t>
    </r>
  </si>
  <si>
    <t>Anzahl der Fassaden-schrauben (lang + kurz) [St.]</t>
  </si>
  <si>
    <t>Schalungen-stöße [St.]</t>
  </si>
  <si>
    <t xml:space="preserve">Breite       [cm] </t>
  </si>
  <si>
    <t>Tipps und Tricks</t>
  </si>
  <si>
    <t>STAMISOL und Fassadenbahnen ansprechen</t>
  </si>
  <si>
    <t>VE                   [St.]</t>
  </si>
  <si>
    <t>VE              [St.]</t>
  </si>
  <si>
    <t>ca. Gewindelänge lg + Schalungsstärke</t>
  </si>
  <si>
    <t xml:space="preserve">ASSY 4 P CSMP 4,0x70mm Senkkopf </t>
  </si>
  <si>
    <t>Anzahl der Fassaden-schrauben [St.]</t>
  </si>
  <si>
    <t>VE          [St.]</t>
  </si>
  <si>
    <t>Abstand  Traglattung [cm]</t>
  </si>
  <si>
    <t>Bei Slyline Fassade bitte die mittlere Schalungsbreite annehmen</t>
  </si>
  <si>
    <t>250</t>
  </si>
  <si>
    <t>passende Schraube Boden</t>
  </si>
  <si>
    <t>passende Schraube Deckel</t>
  </si>
  <si>
    <t>VE               [St.]</t>
  </si>
  <si>
    <t>VE             [St.]</t>
  </si>
  <si>
    <t>Boden [St.]</t>
  </si>
  <si>
    <t>Überlappung  [cm]</t>
  </si>
  <si>
    <t>VE            [St.]</t>
  </si>
  <si>
    <t xml:space="preserve">Paket-  anzahl Boden </t>
  </si>
  <si>
    <t xml:space="preserve">Paket-   anzahl Deckel </t>
  </si>
  <si>
    <t>VE         [St.]</t>
  </si>
  <si>
    <t>Schrauben-länge             [mm]</t>
  </si>
  <si>
    <t>Stahlschrauben                  Trag-/Grundlatte</t>
  </si>
  <si>
    <t xml:space="preserve">Bohrspitzenlänge + Gewindelänge + Bodenstärke </t>
  </si>
  <si>
    <t>Bohrspitzenlänge + Gewindelänge + Bodenstärke + Deckel/Leistenstärke</t>
  </si>
  <si>
    <t xml:space="preserve"> "Schaftteil" min. Grundlattenstärke</t>
  </si>
  <si>
    <t>Abstand Traglattung [cm]</t>
  </si>
  <si>
    <t>Deckel / Leiste                   [St.]</t>
  </si>
  <si>
    <t>Akku Geräte ansprechen</t>
  </si>
  <si>
    <t>Bit + Bithalter</t>
  </si>
  <si>
    <t xml:space="preserve"> max. Grundlatten-stärke [mm]</t>
  </si>
  <si>
    <t>max. Traglattungs-stärke [mm]</t>
  </si>
  <si>
    <t>VE                 [St.]</t>
  </si>
  <si>
    <t>max. Grundlatten-stärke [mm]</t>
  </si>
  <si>
    <t>Wird in die Rillung der Diele verschraubt, so kann eine geringere Dielenstärke angenommen werden. Es kann dadurch statt einer z.B. 70mm Schraube eine 60mm lange Schraube verwendet werden.</t>
  </si>
  <si>
    <t>1)</t>
  </si>
  <si>
    <t>Belagbretter und -bohlen müssen ab einer Breite von 80 mm je Befestigungsstelle mit
mindestens zwei Verbindungsmitteln angeschlossen werden</t>
  </si>
  <si>
    <t>Hinweise:</t>
  </si>
  <si>
    <t>2)</t>
  </si>
  <si>
    <t>Es sind die "Fachregeln des Zimmererhandwerks INFORMATIONSDIENST HOLZ Balkone und Terrasse" zu beachten. Bezugsquelle: https://informationsdienst-holz.de/publikationen/balkone-und-terrassen</t>
  </si>
  <si>
    <t>Für sehr kurze gerade Douglasiendielen</t>
  </si>
  <si>
    <t>Deckbreite               [cm]</t>
  </si>
  <si>
    <t>Schalungen-stöße               [St.]</t>
  </si>
  <si>
    <r>
      <rPr>
        <vertAlign val="superscript"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 xml:space="preserve">Belagbretter und -bohlen müssen ab einer Breite von 80 mm je Befestigungsstelle mit mindestens zwei Verbindungsmitteln angeschlossen werden </t>
    </r>
  </si>
  <si>
    <t>max. Schalungs-stärke [mm)</t>
  </si>
  <si>
    <r>
      <rPr>
        <vertAlign val="superscript"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>Die Einbindelänge (lg) in die Unterkonstruktion sollen mindestens der Brettstärke entsprechen</t>
    </r>
  </si>
  <si>
    <t>Gewinde-länge [mm]</t>
  </si>
  <si>
    <r>
      <t>Böengeschwindigkeits-druck q</t>
    </r>
    <r>
      <rPr>
        <vertAlign val="subscript"/>
        <sz val="8"/>
        <color theme="1"/>
        <rFont val="Arial"/>
        <family val="2"/>
      </rPr>
      <t>p,k</t>
    </r>
  </si>
  <si>
    <r>
      <t>Anzahl  Verbindungs-mittel je Kreuzungs-punkt</t>
    </r>
    <r>
      <rPr>
        <b/>
        <vertAlign val="superscript"/>
        <sz val="8"/>
        <color theme="1"/>
        <rFont val="Arial"/>
        <family val="2"/>
      </rPr>
      <t>1)2)</t>
    </r>
    <r>
      <rPr>
        <b/>
        <sz val="8"/>
        <color theme="1"/>
        <rFont val="Arial"/>
        <family val="2"/>
      </rPr>
      <t xml:space="preserve">            [St.]</t>
    </r>
  </si>
  <si>
    <t>Schraube zu lang oder mit zu kurzem Schaft</t>
  </si>
  <si>
    <t>zu geringe Schaftlänge, zu lange Schraube oder Gewinde nicht vollständig in der Traglattung</t>
  </si>
  <si>
    <t>Vergessen Sie nicht das Anbieten und Berücksichtigen der Distanzleisten (Art. Nr. 0907000100) zwischen Diele und Unterkonstruktion nicht (Achtung: 8mm Höhe im Feld "Distanzleiste" eintragen)</t>
  </si>
  <si>
    <t>Hinweis: Keine Mengenberücksichtigung von Ausschnitten, Laibungen oder Eckausbildungen, keine statische Berechnung der Anschlüsse Grund- und Traglattung</t>
  </si>
  <si>
    <r>
      <rPr>
        <b/>
        <sz val="8"/>
        <color rgb="FFFF0000"/>
        <rFont val="Arial"/>
        <family val="2"/>
      </rPr>
      <t xml:space="preserve">Hinweis: </t>
    </r>
    <r>
      <rPr>
        <sz val="8"/>
        <color rgb="FFFF0000"/>
        <rFont val="Arial"/>
        <family val="2"/>
      </rPr>
      <t>Vereinfachter statischer Nachweis bei Einhaltung der Vorgaben Fachregeln "Außenwandbekleidung aus Holz" 01/2020</t>
    </r>
  </si>
  <si>
    <r>
      <rPr>
        <b/>
        <sz val="8"/>
        <color rgb="FFFF0000"/>
        <rFont val="Arial"/>
        <family val="2"/>
      </rPr>
      <t xml:space="preserve">Hinweis: </t>
    </r>
    <r>
      <rPr>
        <sz val="8"/>
        <color rgb="FFFF0000"/>
        <rFont val="Arial"/>
        <family val="2"/>
      </rPr>
      <t>Vereinfachter statischer Nachweis bei Einhaltung der Vorgaben Fachregeln "Außenwand-bekleidung aus Holz" 01/2020</t>
    </r>
  </si>
  <si>
    <t>VE                                 [St.]</t>
  </si>
  <si>
    <t>Bei Senkkopfschrauben bitte mit anbieten: Aufstecksenker mit Tiefenanschlag oder Terrassenbaustützen</t>
  </si>
  <si>
    <r>
      <rPr>
        <vertAlign val="superscript"/>
        <sz val="8"/>
        <color theme="1"/>
        <rFont val="Arial"/>
        <family val="2"/>
      </rPr>
      <t xml:space="preserve">3) </t>
    </r>
    <r>
      <rPr>
        <sz val="8"/>
        <color theme="1"/>
        <rFont val="Arial"/>
        <family val="2"/>
      </rPr>
      <t xml:space="preserve">Werden die Bretter zusätzlich zu den Verbindungsmittel durch andere Fassadenbretter gehalten, ist bei gespundeten Profilbrettern und Schalungen bei Deckbreiten </t>
    </r>
    <r>
      <rPr>
        <sz val="8"/>
        <color theme="1"/>
        <rFont val="Wuerth Book"/>
        <family val="2"/>
      </rPr>
      <t>≤</t>
    </r>
    <r>
      <rPr>
        <sz val="8"/>
        <color theme="1"/>
        <rFont val="Arial"/>
        <family val="2"/>
      </rPr>
      <t xml:space="preserve"> 120mm ein Befestigungspunkt ausreichend. Ab einer Breite von &gt;120mm sind zwei Verbindungsmittel anzubringen</t>
    </r>
  </si>
  <si>
    <t>Gewinde-länge             [mm]</t>
  </si>
  <si>
    <r>
      <t xml:space="preserve">zu geringe Schaftlänge, zu lange Schraube </t>
    </r>
    <r>
      <rPr>
        <b/>
        <sz val="8"/>
        <color theme="1"/>
        <rFont val="Arial"/>
        <family val="2"/>
      </rPr>
      <t>oder Gewinde nicht vollständig in der Traglattung</t>
    </r>
  </si>
  <si>
    <r>
      <t xml:space="preserve">zu geringe Schaftlänge, zu lange Schraube oder </t>
    </r>
    <r>
      <rPr>
        <b/>
        <sz val="8"/>
        <color theme="1"/>
        <rFont val="Arial"/>
        <family val="2"/>
      </rPr>
      <t>Gewinde nicht vollständig in der Traglattung</t>
    </r>
  </si>
  <si>
    <t>max. Schalungs-stärke* [mm]</t>
  </si>
  <si>
    <t>* = dk + Schaftlänge</t>
  </si>
  <si>
    <t>SHR-SEKPF-HO-A2-RW20-4X40/24</t>
  </si>
  <si>
    <t>018744040</t>
  </si>
  <si>
    <t>018744045</t>
  </si>
  <si>
    <t>018744050</t>
  </si>
  <si>
    <t>SHR-SEKPF-HO-A2-RW20-4X45/29</t>
  </si>
  <si>
    <t>SHR-SEKPF-HO-A2-RW20-4X50/39</t>
  </si>
  <si>
    <t>Fassadenschraube aus Edelstahl</t>
  </si>
  <si>
    <t>SHR-SEKPF-HO-A2-RW20-3,5X40/25</t>
  </si>
  <si>
    <t>018743540</t>
  </si>
  <si>
    <t>SHR-LISEKPF-HO-A2-RW20-4X40/24</t>
  </si>
  <si>
    <t>018764040</t>
  </si>
  <si>
    <t>018764045</t>
  </si>
  <si>
    <t>018764050</t>
  </si>
  <si>
    <t>SHR-LISEKPF-HO-A2-RW20-4X45/29</t>
  </si>
  <si>
    <t>SHR-LISEKPF-HO-A2-RW20-4X50/34</t>
  </si>
  <si>
    <t>Die Befestigung von Belägen ist oberflächenbündig herzustellen.                                      Eine Versenkung der Befestigungsmittel ist bei oberflächenbeschichteten Bauteilen bis zu 1 mm, ansonsten bis zu 2 mm, zulässig. Geringfügiges Aufreißen der oberflächennahen Fasern ist zulässig.</t>
  </si>
  <si>
    <r>
      <t>Anzahl  Verbindungsmittel je Kreuzungspunkt Diele/Unter-konstruktion</t>
    </r>
    <r>
      <rPr>
        <b/>
        <vertAlign val="superscript"/>
        <sz val="8"/>
        <color theme="1"/>
        <rFont val="Arial"/>
        <family val="2"/>
      </rPr>
      <t xml:space="preserve">1), 2)  </t>
    </r>
    <r>
      <rPr>
        <b/>
        <sz val="8"/>
        <color theme="1"/>
        <rFont val="Arial"/>
        <family val="2"/>
      </rPr>
      <t>[St.]</t>
    </r>
  </si>
  <si>
    <t xml:space="preserve">Paket- anzahl [St.] </t>
  </si>
  <si>
    <t xml:space="preserve"> Paket-anzahl [St.]</t>
  </si>
  <si>
    <t>Gewinde-länge    [mm]</t>
  </si>
  <si>
    <t>Schrauben-länge     [mm]</t>
  </si>
  <si>
    <t>VE           (St.)</t>
  </si>
  <si>
    <t>max Lattungs-stärke          [mm]</t>
  </si>
  <si>
    <t>Paket- anzahl     [St.]</t>
  </si>
  <si>
    <t xml:space="preserve">Paket- anzahl      [St.] </t>
  </si>
  <si>
    <t xml:space="preserve"> Paket-anzahl [St.] </t>
  </si>
  <si>
    <t>Schrauben-länge    [mm]</t>
  </si>
  <si>
    <t>Kurzbezeichnung                                       ASSY Fassadenschraube</t>
  </si>
  <si>
    <t>Kurzbezeichnung                                   ASSY Traglattenschraube</t>
  </si>
  <si>
    <t>Kurzbezeichnung                                                ASSY Fassadenschraube</t>
  </si>
  <si>
    <t>Kurzbezeichnung                                                   ASSY Traglattenschraube</t>
  </si>
  <si>
    <r>
      <t>Anzahl  Verbindungs-mittel je Kreuzungs-punkt</t>
    </r>
    <r>
      <rPr>
        <b/>
        <vertAlign val="superscript"/>
        <sz val="8"/>
        <color theme="1"/>
        <rFont val="Arial"/>
        <family val="2"/>
      </rPr>
      <t>1)2)3)</t>
    </r>
    <r>
      <rPr>
        <b/>
        <sz val="8"/>
        <color theme="1"/>
        <rFont val="Arial"/>
        <family val="2"/>
      </rPr>
      <t xml:space="preserve">    (ST.) </t>
    </r>
  </si>
  <si>
    <t>Abstand Ecklattung zur Fassaden-ecke      [cm]</t>
  </si>
  <si>
    <t>doppelte Schalungsstärke</t>
  </si>
  <si>
    <t>ca. Gewindelänge lg + 2xSchalungsstärke</t>
  </si>
  <si>
    <r>
      <rPr>
        <vertAlign val="superscript"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 xml:space="preserve">Belagbretter und -bohlen müssen ab einer Breite von   80 mm je Befestigungsstelle mit mindestens zwei Verbindungsmitteln angeschlossen werden </t>
    </r>
  </si>
  <si>
    <t>Schrauben-länge          [mm]</t>
  </si>
  <si>
    <t>Traglattungs-stärke [mm]</t>
  </si>
  <si>
    <r>
      <t>Anzahl  Verbindungs-mittel je Kreuzungs-punkt</t>
    </r>
    <r>
      <rPr>
        <b/>
        <vertAlign val="superscript"/>
        <sz val="8"/>
        <color theme="1"/>
        <rFont val="Arial"/>
        <family val="2"/>
      </rPr>
      <t xml:space="preserve"> 2)3)</t>
    </r>
    <r>
      <rPr>
        <b/>
        <sz val="8"/>
        <color theme="1"/>
        <rFont val="Arial"/>
        <family val="2"/>
      </rPr>
      <t xml:space="preserve"> [St.]</t>
    </r>
  </si>
  <si>
    <t xml:space="preserve">Außenbreite [cm] </t>
  </si>
  <si>
    <t>Kurzbezeichnung                                                       ASSY Traglattenschraube</t>
  </si>
  <si>
    <t>Paket- anzahl  [St.]</t>
  </si>
  <si>
    <t xml:space="preserve">Paket- anzahl  [St.] </t>
  </si>
  <si>
    <t>Kurzbezeichnung                                                           ASSY Fassadenschraube</t>
  </si>
  <si>
    <t>Kurzbezeichnung                                               ASSY Traglattenschraube</t>
  </si>
  <si>
    <r>
      <t>Anzahl Verbindungsmittel je Kreuzungs- punkt  [St.]</t>
    </r>
    <r>
      <rPr>
        <b/>
        <vertAlign val="superscript"/>
        <sz val="8"/>
        <color theme="1"/>
        <rFont val="Arial"/>
        <family val="2"/>
      </rPr>
      <t>1)2)3)</t>
    </r>
  </si>
  <si>
    <t>Udo Cera</t>
  </si>
  <si>
    <t>Musterhaus</t>
  </si>
  <si>
    <t>Beispiel</t>
  </si>
  <si>
    <t>Schraubentyp</t>
  </si>
  <si>
    <t xml:space="preserve">Schraubntyp </t>
  </si>
  <si>
    <t xml:space="preserve">Schraubentyp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</si>
</sst>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########"/>
    <numFmt numFmtId="165" formatCode="0.0"/>
  </numFmts>
  <fonts count="48" x14ac:knownFonts="1">
    <font>
      <sz val="11"/>
      <color theme="1"/>
      <name val="Calibri"/>
      <family val="2"/>
      <scheme val="minor"/>
    </font>
    <font>
      <sz val="12"/>
      <color rgb="FF9C5700"/>
      <name val="Wuerth Book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6100"/>
      <name val="Wuerth Book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i/>
      <sz val="8"/>
      <color rgb="FFFF0000"/>
      <name val="Arial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8"/>
      <color rgb="FFFF0000"/>
      <name val="Arial"/>
      <family val="2"/>
    </font>
    <font>
      <b/>
      <sz val="8"/>
      <color theme="9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i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i/>
      <sz val="8"/>
      <color theme="5" tint="-0.249977111117893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rgb="FFFF000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b/>
      <sz val="7"/>
      <color theme="9"/>
      <name val="Arial"/>
      <family val="2"/>
    </font>
    <font>
      <b/>
      <i/>
      <sz val="7"/>
      <color theme="5" tint="-0.249977111117893"/>
      <name val="Arial"/>
      <family val="2"/>
    </font>
    <font>
      <b/>
      <sz val="7"/>
      <color rgb="FFFF0000"/>
      <name val="Arial"/>
      <family val="2"/>
    </font>
    <font>
      <b/>
      <vertAlign val="subscript"/>
      <sz val="8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Wuerth Book"/>
      <family val="2"/>
    </font>
    <font>
      <sz val="8"/>
      <color rgb="FFFF0000"/>
      <name val="Calibri"/>
      <family val="2"/>
      <scheme val="minor"/>
    </font>
    <font>
      <i/>
      <sz val="7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EA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A8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4" borderId="0" applyNumberFormat="0" applyBorder="0" applyAlignment="0" applyProtection="0"/>
    <xf numFmtId="0" fontId="2" fillId="0" borderId="0"/>
    <xf numFmtId="0" fontId="5" fillId="9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34">
    <xf numFmtId="0" fontId="0" fillId="0" borderId="0" xfId="0"/>
    <xf numFmtId="0" fontId="0" fillId="0" borderId="0" xfId="0" applyAlignment="1">
      <alignment wrapText="1"/>
    </xf>
    <xf numFmtId="0" fontId="12" fillId="0" borderId="1" xfId="0" applyFont="1" applyBorder="1" applyAlignment="1" applyProtection="1">
      <alignment horizontal="left" indent="1"/>
      <protection locked="0"/>
    </xf>
    <xf numFmtId="1" fontId="12" fillId="3" borderId="1" xfId="0" applyNumberFormat="1" applyFont="1" applyFill="1" applyBorder="1" applyProtection="1">
      <protection locked="0"/>
    </xf>
    <xf numFmtId="0" fontId="12" fillId="3" borderId="1" xfId="0" applyFont="1" applyFill="1" applyBorder="1" applyProtection="1">
      <protection locked="0"/>
    </xf>
    <xf numFmtId="3" fontId="12" fillId="11" borderId="1" xfId="0" applyNumberFormat="1" applyFont="1" applyFill="1" applyBorder="1" applyAlignment="1">
      <alignment horizontal="right"/>
    </xf>
    <xf numFmtId="0" fontId="12" fillId="0" borderId="0" xfId="0" applyFont="1" applyAlignment="1" applyProtection="1">
      <alignment horizontal="left" indent="1"/>
      <protection locked="0"/>
    </xf>
    <xf numFmtId="1" fontId="12" fillId="0" borderId="0" xfId="0" applyNumberFormat="1" applyFont="1" applyAlignment="1" applyProtection="1">
      <alignment horizontal="left" indent="1"/>
      <protection locked="0"/>
    </xf>
    <xf numFmtId="3" fontId="12" fillId="11" borderId="9" xfId="0" applyNumberFormat="1" applyFont="1" applyFill="1" applyBorder="1"/>
    <xf numFmtId="0" fontId="12" fillId="6" borderId="1" xfId="0" applyFont="1" applyFill="1" applyBorder="1" applyProtection="1">
      <protection locked="0"/>
    </xf>
    <xf numFmtId="165" fontId="12" fillId="0" borderId="1" xfId="2" applyNumberFormat="1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49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49" fontId="12" fillId="0" borderId="0" xfId="1" applyNumberFormat="1" applyFont="1" applyFill="1" applyBorder="1" applyAlignment="1" applyProtection="1">
      <alignment horizontal="right" vertical="center"/>
      <protection locked="0"/>
    </xf>
    <xf numFmtId="49" fontId="12" fillId="0" borderId="1" xfId="2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" fontId="12" fillId="3" borderId="1" xfId="0" applyNumberFormat="1" applyFont="1" applyFill="1" applyBorder="1" applyAlignment="1" applyProtection="1">
      <alignment vertical="center"/>
      <protection locked="0"/>
    </xf>
    <xf numFmtId="165" fontId="12" fillId="3" borderId="1" xfId="0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3" fontId="12" fillId="11" borderId="1" xfId="0" applyNumberFormat="1" applyFont="1" applyFill="1" applyBorder="1" applyAlignment="1">
      <alignment horizontal="right" vertical="center"/>
    </xf>
    <xf numFmtId="0" fontId="12" fillId="0" borderId="0" xfId="0" applyFont="1" applyAlignment="1" applyProtection="1">
      <alignment horizontal="left" vertical="center"/>
      <protection locked="0"/>
    </xf>
    <xf numFmtId="1" fontId="12" fillId="0" borderId="0" xfId="0" applyNumberFormat="1" applyFont="1" applyAlignment="1" applyProtection="1">
      <alignment horizontal="left" vertical="center"/>
      <protection locked="0"/>
    </xf>
    <xf numFmtId="3" fontId="12" fillId="5" borderId="8" xfId="0" applyNumberFormat="1" applyFont="1" applyFill="1" applyBorder="1" applyAlignment="1">
      <alignment horizontal="center" vertical="center"/>
    </xf>
    <xf numFmtId="3" fontId="12" fillId="5" borderId="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3" fontId="12" fillId="5" borderId="10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165" fontId="12" fillId="0" borderId="7" xfId="2" applyNumberFormat="1" applyFont="1" applyBorder="1" applyAlignment="1" applyProtection="1">
      <alignment horizontal="right" vertical="center" wrapText="1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165" fontId="12" fillId="0" borderId="25" xfId="2" applyNumberFormat="1" applyFont="1" applyBorder="1" applyAlignment="1" applyProtection="1">
      <alignment horizontal="right" vertical="center" wrapText="1"/>
      <protection locked="0"/>
    </xf>
    <xf numFmtId="0" fontId="12" fillId="0" borderId="25" xfId="0" applyFont="1" applyBorder="1" applyAlignment="1" applyProtection="1">
      <alignment horizontal="right" vertical="center"/>
      <protection locked="0"/>
    </xf>
    <xf numFmtId="0" fontId="12" fillId="6" borderId="26" xfId="0" applyFont="1" applyFill="1" applyBorder="1" applyAlignment="1" applyProtection="1">
      <alignment vertical="center"/>
      <protection locked="0"/>
    </xf>
    <xf numFmtId="0" fontId="12" fillId="6" borderId="27" xfId="0" applyFont="1" applyFill="1" applyBorder="1" applyAlignment="1" applyProtection="1">
      <alignment vertical="center"/>
      <protection locked="0"/>
    </xf>
    <xf numFmtId="165" fontId="12" fillId="0" borderId="32" xfId="2" applyNumberFormat="1" applyFont="1" applyBorder="1" applyAlignment="1" applyProtection="1">
      <alignment horizontal="right" vertical="center" wrapText="1"/>
      <protection locked="0"/>
    </xf>
    <xf numFmtId="0" fontId="12" fillId="0" borderId="32" xfId="0" applyFont="1" applyBorder="1" applyAlignment="1" applyProtection="1">
      <alignment horizontal="right" vertical="center"/>
      <protection locked="0"/>
    </xf>
    <xf numFmtId="0" fontId="12" fillId="6" borderId="33" xfId="0" applyFont="1" applyFill="1" applyBorder="1" applyAlignment="1" applyProtection="1">
      <alignment vertical="center"/>
      <protection locked="0"/>
    </xf>
    <xf numFmtId="3" fontId="11" fillId="11" borderId="9" xfId="0" applyNumberFormat="1" applyFont="1" applyFill="1" applyBorder="1" applyAlignment="1">
      <alignment vertical="center"/>
    </xf>
    <xf numFmtId="0" fontId="11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2" fillId="11" borderId="1" xfId="0" applyFont="1" applyFill="1" applyBorder="1" applyAlignment="1" applyProtection="1">
      <alignment vertical="center"/>
      <protection locked="0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11" borderId="27" xfId="0" applyFont="1" applyFill="1" applyBorder="1" applyAlignment="1">
      <alignment vertical="center"/>
    </xf>
    <xf numFmtId="0" fontId="12" fillId="0" borderId="32" xfId="0" applyFont="1" applyBorder="1" applyAlignment="1">
      <alignment horizontal="right" vertical="center"/>
    </xf>
    <xf numFmtId="0" fontId="12" fillId="11" borderId="33" xfId="0" applyFont="1" applyFill="1" applyBorder="1" applyAlignment="1">
      <alignment vertical="center"/>
    </xf>
    <xf numFmtId="0" fontId="12" fillId="0" borderId="25" xfId="0" applyFont="1" applyBorder="1" applyAlignment="1">
      <alignment horizontal="right" vertical="center"/>
    </xf>
    <xf numFmtId="0" fontId="12" fillId="11" borderId="26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8" borderId="22" xfId="0" applyFont="1" applyFill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8" borderId="12" xfId="0" applyFont="1" applyFill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8" borderId="12" xfId="3" applyFont="1" applyFill="1" applyBorder="1" applyAlignment="1" applyProtection="1">
      <alignment horizontal="left" vertical="center"/>
      <protection locked="0"/>
    </xf>
    <xf numFmtId="0" fontId="12" fillId="8" borderId="29" xfId="3" applyFont="1" applyFill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1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/>
    </xf>
    <xf numFmtId="0" fontId="23" fillId="0" borderId="0" xfId="4" applyFont="1" applyProtection="1">
      <protection locked="0"/>
    </xf>
    <xf numFmtId="0" fontId="8" fillId="0" borderId="0" xfId="0" applyFont="1"/>
    <xf numFmtId="0" fontId="12" fillId="0" borderId="0" xfId="0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3" fontId="12" fillId="6" borderId="1" xfId="0" applyNumberFormat="1" applyFont="1" applyFill="1" applyBorder="1" applyAlignment="1">
      <alignment horizontal="right"/>
    </xf>
    <xf numFmtId="0" fontId="12" fillId="0" borderId="0" xfId="0" applyFont="1" applyAlignment="1">
      <alignment horizontal="left" indent="1"/>
    </xf>
    <xf numFmtId="3" fontId="12" fillId="6" borderId="9" xfId="0" applyNumberFormat="1" applyFont="1" applyFill="1" applyBorder="1"/>
    <xf numFmtId="0" fontId="24" fillId="0" borderId="0" xfId="0" applyFont="1"/>
    <xf numFmtId="0" fontId="13" fillId="0" borderId="0" xfId="0" applyFont="1" applyAlignment="1">
      <alignment horizontal="left" indent="1"/>
    </xf>
    <xf numFmtId="0" fontId="12" fillId="8" borderId="1" xfId="0" applyFont="1" applyFill="1" applyBorder="1" applyAlignment="1">
      <alignment vertical="center"/>
    </xf>
    <xf numFmtId="0" fontId="14" fillId="0" borderId="0" xfId="0" applyFont="1"/>
    <xf numFmtId="0" fontId="12" fillId="0" borderId="0" xfId="0" applyFont="1" applyAlignment="1">
      <alignment horizontal="left"/>
    </xf>
    <xf numFmtId="0" fontId="12" fillId="6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1" fontId="28" fillId="0" borderId="1" xfId="2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wrapText="1"/>
    </xf>
    <xf numFmtId="0" fontId="10" fillId="0" borderId="0" xfId="0" applyFont="1"/>
    <xf numFmtId="0" fontId="15" fillId="0" borderId="1" xfId="0" applyFont="1" applyBorder="1"/>
    <xf numFmtId="49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164" fontId="12" fillId="0" borderId="0" xfId="2" applyNumberFormat="1" applyFont="1" applyAlignment="1">
      <alignment horizontal="left" wrapText="1"/>
    </xf>
    <xf numFmtId="165" fontId="30" fillId="0" borderId="1" xfId="2" applyNumberFormat="1" applyFont="1" applyBorder="1" applyAlignment="1" applyProtection="1">
      <alignment horizontal="right" vertical="center" wrapText="1"/>
      <protection locked="0"/>
    </xf>
    <xf numFmtId="0" fontId="30" fillId="8" borderId="1" xfId="0" applyFont="1" applyFill="1" applyBorder="1" applyProtection="1">
      <protection locked="0"/>
    </xf>
    <xf numFmtId="0" fontId="30" fillId="8" borderId="1" xfId="0" applyFont="1" applyFill="1" applyBorder="1" applyAlignment="1">
      <alignment vertical="center"/>
    </xf>
    <xf numFmtId="0" fontId="30" fillId="0" borderId="1" xfId="0" applyFont="1" applyBorder="1" applyAlignment="1" applyProtection="1">
      <alignment horizontal="right" vertical="center"/>
      <protection locked="0"/>
    </xf>
    <xf numFmtId="0" fontId="30" fillId="0" borderId="1" xfId="0" applyFont="1" applyBorder="1" applyAlignment="1">
      <alignment horizontal="right" vertical="center"/>
    </xf>
    <xf numFmtId="0" fontId="30" fillId="0" borderId="1" xfId="0" applyFont="1" applyBorder="1" applyProtection="1">
      <protection locked="0"/>
    </xf>
    <xf numFmtId="0" fontId="30" fillId="0" borderId="1" xfId="0" applyFont="1" applyBorder="1" applyAlignment="1">
      <alignment vertical="center"/>
    </xf>
    <xf numFmtId="1" fontId="32" fillId="0" borderId="1" xfId="2" applyNumberFormat="1" applyFont="1" applyBorder="1" applyAlignment="1" applyProtection="1">
      <alignment horizontal="right" wrapText="1"/>
      <protection locked="0"/>
    </xf>
    <xf numFmtId="49" fontId="31" fillId="0" borderId="1" xfId="0" applyNumberFormat="1" applyFont="1" applyBorder="1" applyProtection="1">
      <protection locked="0"/>
    </xf>
    <xf numFmtId="0" fontId="30" fillId="0" borderId="4" xfId="0" applyFont="1" applyBorder="1" applyProtection="1">
      <protection locked="0"/>
    </xf>
    <xf numFmtId="0" fontId="30" fillId="0" borderId="5" xfId="0" applyFont="1" applyBorder="1" applyAlignment="1" applyProtection="1">
      <alignment horizontal="center" vertical="top" wrapText="1"/>
      <protection locked="0"/>
    </xf>
    <xf numFmtId="1" fontId="32" fillId="0" borderId="1" xfId="2" applyNumberFormat="1" applyFont="1" applyBorder="1" applyAlignment="1">
      <alignment horizontal="right" vertical="center" wrapText="1"/>
    </xf>
    <xf numFmtId="0" fontId="16" fillId="0" borderId="0" xfId="0" applyFont="1"/>
    <xf numFmtId="3" fontId="11" fillId="11" borderId="9" xfId="0" applyNumberFormat="1" applyFont="1" applyFill="1" applyBorder="1"/>
    <xf numFmtId="3" fontId="11" fillId="6" borderId="9" xfId="0" applyNumberFormat="1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indent="1"/>
    </xf>
    <xf numFmtId="0" fontId="11" fillId="6" borderId="1" xfId="0" applyFont="1" applyFill="1" applyBorder="1" applyAlignment="1">
      <alignment horizontal="left" indent="1"/>
    </xf>
    <xf numFmtId="0" fontId="21" fillId="0" borderId="0" xfId="0" applyFont="1" applyAlignment="1">
      <alignment horizontal="left" indent="1"/>
    </xf>
    <xf numFmtId="0" fontId="11" fillId="6" borderId="1" xfId="0" applyFont="1" applyFill="1" applyBorder="1" applyAlignment="1">
      <alignment horizontal="center" vertical="top"/>
    </xf>
    <xf numFmtId="0" fontId="11" fillId="6" borderId="1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 applyProtection="1">
      <alignment horizontal="right"/>
      <protection locked="0"/>
    </xf>
    <xf numFmtId="0" fontId="11" fillId="6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vertical="top"/>
    </xf>
    <xf numFmtId="0" fontId="11" fillId="11" borderId="1" xfId="0" applyFont="1" applyFill="1" applyBorder="1" applyAlignment="1">
      <alignment horizontal="center" vertical="top" wrapText="1"/>
    </xf>
    <xf numFmtId="0" fontId="33" fillId="0" borderId="21" xfId="0" applyFont="1" applyBorder="1" applyAlignment="1" applyProtection="1">
      <alignment horizontal="left"/>
      <protection locked="0"/>
    </xf>
    <xf numFmtId="165" fontId="30" fillId="0" borderId="25" xfId="2" applyNumberFormat="1" applyFont="1" applyBorder="1" applyAlignment="1" applyProtection="1">
      <alignment horizontal="right" vertical="center" wrapText="1"/>
      <protection locked="0"/>
    </xf>
    <xf numFmtId="0" fontId="30" fillId="8" borderId="25" xfId="0" applyFont="1" applyFill="1" applyBorder="1" applyProtection="1">
      <protection locked="0"/>
    </xf>
    <xf numFmtId="0" fontId="30" fillId="8" borderId="25" xfId="0" applyFont="1" applyFill="1" applyBorder="1" applyAlignment="1">
      <alignment vertical="center"/>
    </xf>
    <xf numFmtId="0" fontId="33" fillId="0" borderId="19" xfId="0" applyFont="1" applyBorder="1" applyAlignment="1" applyProtection="1">
      <alignment horizontal="left" indent="1"/>
      <protection locked="0"/>
    </xf>
    <xf numFmtId="0" fontId="35" fillId="0" borderId="19" xfId="0" applyFont="1" applyBorder="1" applyAlignment="1" applyProtection="1">
      <alignment horizontal="left" vertical="top" indent="1"/>
      <protection locked="0"/>
    </xf>
    <xf numFmtId="0" fontId="33" fillId="0" borderId="28" xfId="0" applyFont="1" applyBorder="1" applyAlignment="1" applyProtection="1">
      <alignment horizontal="left" indent="1"/>
      <protection locked="0"/>
    </xf>
    <xf numFmtId="165" fontId="30" fillId="0" borderId="32" xfId="2" applyNumberFormat="1" applyFont="1" applyBorder="1" applyAlignment="1" applyProtection="1">
      <alignment horizontal="right" vertical="center" wrapText="1"/>
      <protection locked="0"/>
    </xf>
    <xf numFmtId="0" fontId="30" fillId="0" borderId="32" xfId="0" applyFont="1" applyBorder="1" applyAlignment="1" applyProtection="1">
      <alignment horizontal="right" vertical="center"/>
      <protection locked="0"/>
    </xf>
    <xf numFmtId="0" fontId="30" fillId="0" borderId="32" xfId="0" applyFont="1" applyBorder="1" applyAlignment="1">
      <alignment horizontal="right" vertical="center"/>
    </xf>
    <xf numFmtId="0" fontId="30" fillId="0" borderId="25" xfId="0" applyFont="1" applyBorder="1" applyAlignment="1" applyProtection="1">
      <alignment horizontal="right" vertical="center"/>
      <protection locked="0"/>
    </xf>
    <xf numFmtId="0" fontId="30" fillId="0" borderId="25" xfId="0" applyFont="1" applyBorder="1" applyAlignment="1">
      <alignment horizontal="right" vertical="center"/>
    </xf>
    <xf numFmtId="0" fontId="30" fillId="0" borderId="25" xfId="0" applyFont="1" applyBorder="1" applyProtection="1">
      <protection locked="0"/>
    </xf>
    <xf numFmtId="0" fontId="35" fillId="0" borderId="28" xfId="0" applyFont="1" applyBorder="1" applyAlignment="1" applyProtection="1">
      <alignment horizontal="left" vertical="top" indent="1"/>
      <protection locked="0"/>
    </xf>
    <xf numFmtId="0" fontId="30" fillId="0" borderId="32" xfId="0" applyFont="1" applyBorder="1" applyProtection="1">
      <protection locked="0"/>
    </xf>
    <xf numFmtId="0" fontId="30" fillId="0" borderId="32" xfId="0" applyFont="1" applyBorder="1" applyAlignment="1">
      <alignment vertical="center"/>
    </xf>
    <xf numFmtId="0" fontId="33" fillId="0" borderId="39" xfId="0" applyFont="1" applyBorder="1" applyAlignment="1" applyProtection="1">
      <alignment horizontal="left"/>
      <protection locked="0"/>
    </xf>
    <xf numFmtId="0" fontId="30" fillId="0" borderId="35" xfId="0" applyFont="1" applyBorder="1" applyProtection="1">
      <protection locked="0"/>
    </xf>
    <xf numFmtId="0" fontId="30" fillId="0" borderId="35" xfId="0" applyFont="1" applyBorder="1" applyAlignment="1">
      <alignment vertical="center"/>
    </xf>
    <xf numFmtId="0" fontId="30" fillId="0" borderId="25" xfId="0" applyFont="1" applyBorder="1" applyAlignment="1">
      <alignment vertical="center"/>
    </xf>
    <xf numFmtId="1" fontId="32" fillId="0" borderId="25" xfId="2" applyNumberFormat="1" applyFont="1" applyBorder="1" applyAlignment="1" applyProtection="1">
      <alignment horizontal="right" wrapText="1"/>
      <protection locked="0"/>
    </xf>
    <xf numFmtId="0" fontId="35" fillId="8" borderId="28" xfId="0" applyFont="1" applyFill="1" applyBorder="1" applyAlignment="1" applyProtection="1">
      <alignment horizontal="left" vertical="top" indent="1"/>
      <protection locked="0"/>
    </xf>
    <xf numFmtId="49" fontId="31" fillId="0" borderId="32" xfId="0" applyNumberFormat="1" applyFont="1" applyBorder="1" applyProtection="1">
      <protection locked="0"/>
    </xf>
    <xf numFmtId="0" fontId="30" fillId="0" borderId="30" xfId="0" applyFont="1" applyBorder="1" applyProtection="1">
      <protection locked="0"/>
    </xf>
    <xf numFmtId="0" fontId="30" fillId="0" borderId="31" xfId="0" applyFont="1" applyBorder="1" applyAlignment="1" applyProtection="1">
      <alignment horizontal="center" vertical="top" wrapText="1"/>
      <protection locked="0"/>
    </xf>
    <xf numFmtId="1" fontId="32" fillId="0" borderId="32" xfId="2" applyNumberFormat="1" applyFont="1" applyBorder="1" applyAlignment="1">
      <alignment horizontal="right" vertical="center" wrapText="1"/>
    </xf>
    <xf numFmtId="1" fontId="32" fillId="0" borderId="25" xfId="2" applyNumberFormat="1" applyFont="1" applyBorder="1" applyAlignment="1">
      <alignment horizontal="right" vertical="center" wrapText="1"/>
    </xf>
    <xf numFmtId="0" fontId="33" fillId="0" borderId="19" xfId="0" applyFont="1" applyBorder="1" applyAlignment="1" applyProtection="1">
      <alignment horizontal="left"/>
      <protection locked="0"/>
    </xf>
    <xf numFmtId="0" fontId="33" fillId="0" borderId="28" xfId="0" applyFont="1" applyBorder="1" applyAlignment="1" applyProtection="1">
      <alignment horizontal="left"/>
      <protection locked="0"/>
    </xf>
    <xf numFmtId="0" fontId="11" fillId="6" borderId="39" xfId="0" applyFont="1" applyFill="1" applyBorder="1" applyAlignment="1">
      <alignment horizontal="left" vertical="top" wrapText="1"/>
    </xf>
    <xf numFmtId="0" fontId="11" fillId="6" borderId="35" xfId="0" applyFont="1" applyFill="1" applyBorder="1" applyAlignment="1">
      <alignment horizontal="center" vertical="top"/>
    </xf>
    <xf numFmtId="0" fontId="11" fillId="6" borderId="35" xfId="0" applyFont="1" applyFill="1" applyBorder="1" applyAlignment="1">
      <alignment horizontal="center" vertical="top" wrapText="1"/>
    </xf>
    <xf numFmtId="0" fontId="11" fillId="6" borderId="38" xfId="0" applyFont="1" applyFill="1" applyBorder="1" applyAlignment="1">
      <alignment horizontal="center" vertical="top" wrapText="1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5" xfId="0" applyFont="1" applyBorder="1" applyAlignment="1">
      <alignment vertical="center"/>
    </xf>
    <xf numFmtId="0" fontId="11" fillId="0" borderId="19" xfId="0" applyFont="1" applyBorder="1" applyProtection="1">
      <protection locked="0"/>
    </xf>
    <xf numFmtId="0" fontId="11" fillId="0" borderId="28" xfId="0" applyFont="1" applyBorder="1" applyProtection="1">
      <protection locked="0"/>
    </xf>
    <xf numFmtId="0" fontId="12" fillId="0" borderId="32" xfId="0" applyFont="1" applyBorder="1" applyAlignment="1">
      <alignment vertical="center"/>
    </xf>
    <xf numFmtId="0" fontId="11" fillId="10" borderId="35" xfId="0" applyFont="1" applyFill="1" applyBorder="1" applyAlignment="1">
      <alignment horizontal="center" vertical="top"/>
    </xf>
    <xf numFmtId="0" fontId="11" fillId="10" borderId="35" xfId="0" applyFont="1" applyFill="1" applyBorder="1" applyAlignment="1">
      <alignment horizontal="center" vertical="top" wrapText="1"/>
    </xf>
    <xf numFmtId="0" fontId="29" fillId="0" borderId="0" xfId="0" applyFont="1"/>
    <xf numFmtId="0" fontId="11" fillId="0" borderId="0" xfId="0" applyFont="1" applyAlignment="1">
      <alignment horizontal="left" vertical="top"/>
    </xf>
    <xf numFmtId="9" fontId="24" fillId="0" borderId="0" xfId="0" applyNumberFormat="1" applyFont="1" applyAlignment="1">
      <alignment horizontal="left"/>
    </xf>
    <xf numFmtId="0" fontId="38" fillId="0" borderId="0" xfId="0" applyFont="1"/>
    <xf numFmtId="0" fontId="12" fillId="12" borderId="5" xfId="0" applyFont="1" applyFill="1" applyBorder="1" applyAlignment="1" applyProtection="1">
      <alignment vertical="center"/>
      <protection locked="0"/>
    </xf>
    <xf numFmtId="0" fontId="12" fillId="8" borderId="1" xfId="0" applyFont="1" applyFill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2" fillId="0" borderId="19" xfId="0" applyFont="1" applyBorder="1" applyAlignment="1" applyProtection="1">
      <alignment horizontal="left" inden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1" fontId="28" fillId="0" borderId="1" xfId="2" applyNumberFormat="1" applyFont="1" applyBorder="1" applyAlignment="1" applyProtection="1">
      <alignment horizontal="right" vertical="center" wrapText="1"/>
      <protection locked="0"/>
    </xf>
    <xf numFmtId="49" fontId="28" fillId="0" borderId="1" xfId="2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left" indent="1"/>
    </xf>
    <xf numFmtId="0" fontId="12" fillId="8" borderId="1" xfId="0" applyFont="1" applyFill="1" applyBorder="1" applyAlignment="1" applyProtection="1">
      <alignment horizontal="right" vertical="center"/>
      <protection locked="0"/>
    </xf>
    <xf numFmtId="164" fontId="11" fillId="6" borderId="1" xfId="2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0" fontId="11" fillId="15" borderId="39" xfId="0" applyFont="1" applyFill="1" applyBorder="1" applyAlignment="1">
      <alignment horizontal="left" vertical="top" wrapText="1"/>
    </xf>
    <xf numFmtId="0" fontId="11" fillId="15" borderId="35" xfId="0" applyFont="1" applyFill="1" applyBorder="1" applyAlignment="1">
      <alignment horizontal="center" vertical="top"/>
    </xf>
    <xf numFmtId="0" fontId="11" fillId="15" borderId="35" xfId="0" applyFont="1" applyFill="1" applyBorder="1" applyAlignment="1">
      <alignment horizontal="center" vertical="top" wrapText="1"/>
    </xf>
    <xf numFmtId="0" fontId="11" fillId="15" borderId="38" xfId="0" applyFont="1" applyFill="1" applyBorder="1" applyAlignment="1">
      <alignment horizontal="center" vertical="top" wrapText="1"/>
    </xf>
    <xf numFmtId="0" fontId="26" fillId="0" borderId="19" xfId="0" applyFont="1" applyBorder="1" applyAlignment="1" applyProtection="1">
      <alignment horizontal="left" vertical="top" indent="1"/>
      <protection locked="0"/>
    </xf>
    <xf numFmtId="0" fontId="12" fillId="0" borderId="28" xfId="0" applyFont="1" applyBorder="1" applyAlignment="1" applyProtection="1">
      <alignment horizontal="left" indent="1"/>
      <protection locked="0"/>
    </xf>
    <xf numFmtId="0" fontId="11" fillId="0" borderId="39" xfId="0" applyFont="1" applyBorder="1" applyAlignment="1" applyProtection="1">
      <alignment horizontal="left"/>
      <protection locked="0"/>
    </xf>
    <xf numFmtId="0" fontId="12" fillId="0" borderId="35" xfId="0" applyFont="1" applyBorder="1" applyAlignment="1" applyProtection="1">
      <alignment horizontal="right" vertical="center" wrapText="1"/>
      <protection locked="0"/>
    </xf>
    <xf numFmtId="0" fontId="12" fillId="0" borderId="35" xfId="0" applyFont="1" applyBorder="1" applyAlignment="1" applyProtection="1">
      <alignment vertical="center"/>
      <protection locked="0"/>
    </xf>
    <xf numFmtId="0" fontId="12" fillId="0" borderId="25" xfId="0" applyFont="1" applyBorder="1" applyAlignment="1" applyProtection="1">
      <alignment vertical="center"/>
      <protection locked="0"/>
    </xf>
    <xf numFmtId="0" fontId="12" fillId="0" borderId="32" xfId="0" applyFont="1" applyBorder="1" applyAlignment="1" applyProtection="1">
      <alignment vertical="center"/>
      <protection locked="0"/>
    </xf>
    <xf numFmtId="0" fontId="12" fillId="0" borderId="25" xfId="0" applyFont="1" applyBorder="1" applyAlignment="1" applyProtection="1">
      <alignment horizontal="right" vertical="center" wrapText="1"/>
      <protection locked="0"/>
    </xf>
    <xf numFmtId="0" fontId="26" fillId="0" borderId="28" xfId="0" applyFont="1" applyBorder="1" applyAlignment="1" applyProtection="1">
      <alignment horizontal="left" vertical="top" indent="1"/>
      <protection locked="0"/>
    </xf>
    <xf numFmtId="1" fontId="28" fillId="0" borderId="25" xfId="2" applyNumberFormat="1" applyFont="1" applyBorder="1" applyAlignment="1" applyProtection="1">
      <alignment horizontal="right" vertical="center" wrapText="1"/>
      <protection locked="0"/>
    </xf>
    <xf numFmtId="0" fontId="12" fillId="0" borderId="28" xfId="0" applyFont="1" applyBorder="1" applyAlignment="1" applyProtection="1">
      <alignment horizontal="left"/>
      <protection locked="0"/>
    </xf>
    <xf numFmtId="0" fontId="26" fillId="8" borderId="28" xfId="0" applyFont="1" applyFill="1" applyBorder="1" applyAlignment="1" applyProtection="1">
      <alignment horizontal="left" vertical="top" indent="1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12" fillId="0" borderId="28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top" wrapText="1"/>
    </xf>
    <xf numFmtId="0" fontId="9" fillId="0" borderId="0" xfId="0" applyFont="1" applyAlignment="1">
      <alignment horizontal="left" vertical="center"/>
    </xf>
    <xf numFmtId="49" fontId="28" fillId="0" borderId="25" xfId="2" applyNumberFormat="1" applyFont="1" applyBorder="1" applyAlignment="1" applyProtection="1">
      <alignment horizontal="right" vertical="center" wrapText="1"/>
      <protection locked="0"/>
    </xf>
    <xf numFmtId="0" fontId="12" fillId="6" borderId="26" xfId="0" applyFont="1" applyFill="1" applyBorder="1" applyAlignment="1">
      <alignment vertical="center"/>
    </xf>
    <xf numFmtId="0" fontId="12" fillId="6" borderId="27" xfId="0" applyFont="1" applyFill="1" applyBorder="1" applyAlignment="1">
      <alignment vertical="center"/>
    </xf>
    <xf numFmtId="0" fontId="12" fillId="6" borderId="33" xfId="0" applyFont="1" applyFill="1" applyBorder="1" applyAlignment="1">
      <alignment vertical="center"/>
    </xf>
    <xf numFmtId="0" fontId="15" fillId="8" borderId="1" xfId="0" applyFont="1" applyFill="1" applyBorder="1" applyAlignment="1" applyProtection="1">
      <alignment horizontal="left" vertical="center"/>
      <protection locked="0"/>
    </xf>
    <xf numFmtId="0" fontId="11" fillId="11" borderId="2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 applyProtection="1">
      <alignment horizontal="right"/>
      <protection locked="0"/>
    </xf>
    <xf numFmtId="0" fontId="12" fillId="0" borderId="0" xfId="0" applyFont="1" applyAlignment="1">
      <alignment horizontal="left" vertical="center" wrapText="1"/>
    </xf>
    <xf numFmtId="49" fontId="27" fillId="0" borderId="1" xfId="0" applyNumberFormat="1" applyFont="1" applyBorder="1" applyAlignment="1" applyProtection="1">
      <alignment vertical="center"/>
      <protection locked="0"/>
    </xf>
    <xf numFmtId="49" fontId="12" fillId="0" borderId="0" xfId="1" applyNumberFormat="1" applyFont="1" applyFill="1" applyBorder="1" applyAlignment="1" applyProtection="1">
      <alignment horizontal="left" vertical="center"/>
    </xf>
    <xf numFmtId="165" fontId="12" fillId="0" borderId="0" xfId="2" applyNumberFormat="1" applyFont="1" applyAlignment="1">
      <alignment horizontal="right" vertical="center" wrapText="1"/>
    </xf>
    <xf numFmtId="0" fontId="11" fillId="0" borderId="0" xfId="0" applyFont="1" applyAlignment="1" applyProtection="1">
      <alignment horizontal="left" inden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1" fillId="11" borderId="1" xfId="0" applyFont="1" applyFill="1" applyBorder="1" applyAlignment="1">
      <alignment horizontal="left" vertical="top" indent="1"/>
    </xf>
    <xf numFmtId="0" fontId="19" fillId="0" borderId="0" xfId="0" applyFont="1"/>
    <xf numFmtId="0" fontId="11" fillId="0" borderId="5" xfId="0" applyFont="1" applyBorder="1" applyAlignment="1">
      <alignment horizontal="center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1" fillId="0" borderId="21" xfId="0" applyFont="1" applyBorder="1" applyAlignment="1" applyProtection="1">
      <alignment horizontal="left" vertical="top"/>
      <protection locked="0"/>
    </xf>
    <xf numFmtId="1" fontId="28" fillId="0" borderId="25" xfId="2" applyNumberFormat="1" applyFont="1" applyBorder="1" applyAlignment="1">
      <alignment horizontal="right" vertical="center" wrapText="1"/>
    </xf>
    <xf numFmtId="0" fontId="12" fillId="0" borderId="19" xfId="0" applyFont="1" applyBorder="1" applyAlignment="1" applyProtection="1">
      <alignment horizontal="left" vertical="top"/>
      <protection locked="0"/>
    </xf>
    <xf numFmtId="0" fontId="12" fillId="0" borderId="28" xfId="0" applyFont="1" applyBorder="1" applyAlignment="1" applyProtection="1">
      <alignment horizontal="left" vertical="top"/>
      <protection locked="0"/>
    </xf>
    <xf numFmtId="49" fontId="27" fillId="0" borderId="32" xfId="0" applyNumberFormat="1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horizontal="left" vertical="top" indent="1"/>
      <protection locked="0"/>
    </xf>
    <xf numFmtId="0" fontId="12" fillId="0" borderId="28" xfId="0" applyFont="1" applyBorder="1" applyAlignment="1" applyProtection="1">
      <alignment horizontal="left" vertical="top" indent="1"/>
      <protection locked="0"/>
    </xf>
    <xf numFmtId="0" fontId="12" fillId="0" borderId="2" xfId="0" applyFont="1" applyBorder="1" applyAlignment="1" applyProtection="1">
      <alignment horizontal="right" vertical="center"/>
      <protection locked="0"/>
    </xf>
    <xf numFmtId="0" fontId="24" fillId="0" borderId="19" xfId="0" applyFont="1" applyBorder="1" applyAlignment="1" applyProtection="1">
      <alignment horizontal="left" vertical="top" indent="1"/>
      <protection locked="0"/>
    </xf>
    <xf numFmtId="0" fontId="11" fillId="0" borderId="39" xfId="0" applyFont="1" applyBorder="1" applyAlignment="1" applyProtection="1">
      <alignment horizontal="left" vertical="top"/>
      <protection locked="0"/>
    </xf>
    <xf numFmtId="0" fontId="12" fillId="0" borderId="35" xfId="0" applyFont="1" applyBorder="1" applyAlignment="1">
      <alignment vertical="center"/>
    </xf>
    <xf numFmtId="0" fontId="12" fillId="11" borderId="38" xfId="0" applyFont="1" applyFill="1" applyBorder="1" applyAlignment="1">
      <alignment vertical="center"/>
    </xf>
    <xf numFmtId="49" fontId="12" fillId="8" borderId="1" xfId="0" applyNumberFormat="1" applyFont="1" applyFill="1" applyBorder="1" applyAlignment="1" applyProtection="1">
      <alignment horizontal="left" vertical="center"/>
      <protection locked="0"/>
    </xf>
    <xf numFmtId="0" fontId="12" fillId="8" borderId="4" xfId="0" applyFont="1" applyFill="1" applyBorder="1" applyAlignment="1" applyProtection="1">
      <alignment horizontal="left" vertical="center"/>
      <protection locked="0"/>
    </xf>
    <xf numFmtId="0" fontId="12" fillId="8" borderId="5" xfId="0" applyFont="1" applyFill="1" applyBorder="1" applyAlignment="1" applyProtection="1">
      <alignment horizontal="left" vertical="center" wrapText="1"/>
      <protection locked="0"/>
    </xf>
    <xf numFmtId="49" fontId="28" fillId="8" borderId="1" xfId="2" applyNumberFormat="1" applyFont="1" applyFill="1" applyBorder="1" applyAlignment="1" applyProtection="1">
      <alignment horizontal="right" vertical="center" wrapText="1"/>
      <protection locked="0"/>
    </xf>
    <xf numFmtId="0" fontId="12" fillId="0" borderId="19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0" fontId="11" fillId="0" borderId="21" xfId="0" applyFont="1" applyBorder="1" applyProtection="1">
      <protection locked="0"/>
    </xf>
    <xf numFmtId="49" fontId="28" fillId="8" borderId="25" xfId="2" applyNumberFormat="1" applyFont="1" applyFill="1" applyBorder="1" applyAlignment="1" applyProtection="1">
      <alignment horizontal="right" vertical="center" wrapText="1"/>
      <protection locked="0"/>
    </xf>
    <xf numFmtId="0" fontId="12" fillId="6" borderId="26" xfId="0" applyFont="1" applyFill="1" applyBorder="1" applyAlignment="1" applyProtection="1">
      <alignment horizontal="right" vertical="center"/>
      <protection locked="0"/>
    </xf>
    <xf numFmtId="0" fontId="9" fillId="0" borderId="19" xfId="0" applyFont="1" applyBorder="1" applyProtection="1">
      <protection locked="0"/>
    </xf>
    <xf numFmtId="0" fontId="12" fillId="6" borderId="27" xfId="0" applyFont="1" applyFill="1" applyBorder="1" applyAlignment="1" applyProtection="1">
      <alignment horizontal="right" vertical="center"/>
      <protection locked="0"/>
    </xf>
    <xf numFmtId="0" fontId="9" fillId="0" borderId="28" xfId="0" applyFont="1" applyBorder="1" applyProtection="1">
      <protection locked="0"/>
    </xf>
    <xf numFmtId="49" fontId="12" fillId="8" borderId="32" xfId="0" applyNumberFormat="1" applyFont="1" applyFill="1" applyBorder="1" applyAlignment="1" applyProtection="1">
      <alignment horizontal="left" vertical="center"/>
      <protection locked="0"/>
    </xf>
    <xf numFmtId="0" fontId="12" fillId="8" borderId="30" xfId="0" applyFont="1" applyFill="1" applyBorder="1" applyAlignment="1" applyProtection="1">
      <alignment horizontal="left" vertical="center"/>
      <protection locked="0"/>
    </xf>
    <xf numFmtId="0" fontId="12" fillId="8" borderId="31" xfId="0" applyFont="1" applyFill="1" applyBorder="1" applyAlignment="1" applyProtection="1">
      <alignment horizontal="left" vertical="center"/>
      <protection locked="0"/>
    </xf>
    <xf numFmtId="49" fontId="28" fillId="8" borderId="32" xfId="2" applyNumberFormat="1" applyFont="1" applyFill="1" applyBorder="1" applyAlignment="1" applyProtection="1">
      <alignment horizontal="right" vertical="center" wrapText="1"/>
      <protection locked="0"/>
    </xf>
    <xf numFmtId="0" fontId="12" fillId="6" borderId="33" xfId="0" applyFont="1" applyFill="1" applyBorder="1" applyAlignment="1" applyProtection="1">
      <alignment horizontal="right" vertical="center"/>
      <protection locked="0"/>
    </xf>
    <xf numFmtId="0" fontId="18" fillId="2" borderId="0" xfId="0" applyFont="1" applyFill="1" applyAlignment="1">
      <alignment horizontal="left" vertical="center"/>
    </xf>
    <xf numFmtId="0" fontId="23" fillId="0" borderId="0" xfId="4" applyFont="1" applyProtection="1"/>
    <xf numFmtId="0" fontId="21" fillId="0" borderId="3" xfId="0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3" fontId="12" fillId="12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3" fontId="11" fillId="12" borderId="9" xfId="0" applyNumberFormat="1" applyFont="1" applyFill="1" applyBorder="1"/>
    <xf numFmtId="0" fontId="12" fillId="3" borderId="2" xfId="0" applyFont="1" applyFill="1" applyBorder="1" applyProtection="1">
      <protection locked="0"/>
    </xf>
    <xf numFmtId="3" fontId="12" fillId="11" borderId="2" xfId="0" applyNumberFormat="1" applyFont="1" applyFill="1" applyBorder="1" applyAlignment="1">
      <alignment horizontal="right"/>
    </xf>
    <xf numFmtId="3" fontId="12" fillId="12" borderId="2" xfId="0" applyNumberFormat="1" applyFont="1" applyFill="1" applyBorder="1" applyAlignment="1">
      <alignment horizontal="right"/>
    </xf>
    <xf numFmtId="3" fontId="12" fillId="6" borderId="2" xfId="0" applyNumberFormat="1" applyFont="1" applyFill="1" applyBorder="1" applyAlignment="1">
      <alignment horizontal="right"/>
    </xf>
    <xf numFmtId="0" fontId="12" fillId="3" borderId="7" xfId="0" applyFont="1" applyFill="1" applyBorder="1" applyProtection="1">
      <protection locked="0"/>
    </xf>
    <xf numFmtId="3" fontId="12" fillId="11" borderId="7" xfId="0" applyNumberFormat="1" applyFont="1" applyFill="1" applyBorder="1" applyAlignment="1">
      <alignment horizontal="right"/>
    </xf>
    <xf numFmtId="3" fontId="12" fillId="12" borderId="7" xfId="0" applyNumberFormat="1" applyFont="1" applyFill="1" applyBorder="1" applyAlignment="1">
      <alignment horizontal="right"/>
    </xf>
    <xf numFmtId="3" fontId="12" fillId="6" borderId="7" xfId="0" applyNumberFormat="1" applyFont="1" applyFill="1" applyBorder="1" applyAlignment="1">
      <alignment horizontal="right"/>
    </xf>
    <xf numFmtId="3" fontId="12" fillId="5" borderId="9" xfId="0" applyNumberFormat="1" applyFont="1" applyFill="1" applyBorder="1"/>
    <xf numFmtId="1" fontId="12" fillId="3" borderId="2" xfId="0" applyNumberFormat="1" applyFont="1" applyFill="1" applyBorder="1" applyProtection="1">
      <protection locked="0"/>
    </xf>
    <xf numFmtId="1" fontId="12" fillId="3" borderId="7" xfId="0" applyNumberFormat="1" applyFont="1" applyFill="1" applyBorder="1" applyProtection="1">
      <protection locked="0"/>
    </xf>
    <xf numFmtId="0" fontId="15" fillId="0" borderId="0" xfId="0" applyFont="1"/>
    <xf numFmtId="0" fontId="39" fillId="0" borderId="0" xfId="0" applyFont="1" applyAlignment="1">
      <alignment wrapText="1"/>
    </xf>
    <xf numFmtId="0" fontId="11" fillId="10" borderId="11" xfId="0" applyFont="1" applyFill="1" applyBorder="1" applyAlignment="1">
      <alignment horizontal="left" vertical="top" wrapText="1"/>
    </xf>
    <xf numFmtId="0" fontId="11" fillId="11" borderId="35" xfId="0" applyFont="1" applyFill="1" applyBorder="1" applyAlignment="1">
      <alignment horizontal="center" vertical="top" wrapText="1"/>
    </xf>
    <xf numFmtId="0" fontId="11" fillId="12" borderId="38" xfId="0" applyFont="1" applyFill="1" applyBorder="1" applyAlignment="1">
      <alignment horizontal="center" vertical="top" wrapText="1"/>
    </xf>
    <xf numFmtId="0" fontId="30" fillId="11" borderId="26" xfId="0" applyFont="1" applyFill="1" applyBorder="1" applyAlignment="1">
      <alignment vertical="center"/>
    </xf>
    <xf numFmtId="0" fontId="30" fillId="11" borderId="27" xfId="0" applyFont="1" applyFill="1" applyBorder="1" applyAlignment="1">
      <alignment vertical="center"/>
    </xf>
    <xf numFmtId="0" fontId="30" fillId="11" borderId="33" xfId="0" applyFont="1" applyFill="1" applyBorder="1" applyAlignment="1">
      <alignment vertical="center"/>
    </xf>
    <xf numFmtId="0" fontId="30" fillId="11" borderId="38" xfId="0" applyFont="1" applyFill="1" applyBorder="1" applyAlignment="1">
      <alignment vertical="center"/>
    </xf>
    <xf numFmtId="0" fontId="11" fillId="7" borderId="11" xfId="0" applyFont="1" applyFill="1" applyBorder="1" applyAlignment="1">
      <alignment horizontal="center" vertical="center"/>
    </xf>
    <xf numFmtId="0" fontId="12" fillId="11" borderId="34" xfId="0" applyFont="1" applyFill="1" applyBorder="1" applyAlignment="1">
      <alignment horizontal="right" vertical="center"/>
    </xf>
    <xf numFmtId="0" fontId="12" fillId="11" borderId="27" xfId="0" applyFont="1" applyFill="1" applyBorder="1" applyAlignment="1">
      <alignment horizontal="right" vertical="center"/>
    </xf>
    <xf numFmtId="0" fontId="12" fillId="11" borderId="33" xfId="0" applyFont="1" applyFill="1" applyBorder="1" applyAlignment="1">
      <alignment horizontal="right" vertical="center"/>
    </xf>
    <xf numFmtId="0" fontId="12" fillId="11" borderId="26" xfId="0" applyFont="1" applyFill="1" applyBorder="1" applyAlignment="1">
      <alignment horizontal="right" vertical="center"/>
    </xf>
    <xf numFmtId="0" fontId="11" fillId="11" borderId="12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13" fillId="7" borderId="1" xfId="0" applyFont="1" applyFill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10" fillId="8" borderId="0" xfId="0" applyFont="1" applyFill="1" applyAlignment="1" applyProtection="1">
      <alignment horizontal="left" vertical="center"/>
      <protection locked="0"/>
    </xf>
    <xf numFmtId="0" fontId="10" fillId="8" borderId="0" xfId="0" applyFont="1" applyFill="1"/>
    <xf numFmtId="0" fontId="10" fillId="8" borderId="0" xfId="0" applyFont="1" applyFill="1" applyProtection="1">
      <protection locked="0"/>
    </xf>
    <xf numFmtId="0" fontId="12" fillId="8" borderId="0" xfId="0" applyFont="1" applyFill="1"/>
    <xf numFmtId="0" fontId="11" fillId="8" borderId="0" xfId="0" applyFont="1" applyFill="1"/>
    <xf numFmtId="0" fontId="11" fillId="8" borderId="0" xfId="0" applyFont="1" applyFill="1" applyAlignment="1">
      <alignment horizontal="center" vertical="top" wrapText="1"/>
    </xf>
    <xf numFmtId="3" fontId="12" fillId="8" borderId="0" xfId="0" applyNumberFormat="1" applyFont="1" applyFill="1" applyAlignment="1">
      <alignment horizontal="right"/>
    </xf>
    <xf numFmtId="3" fontId="12" fillId="8" borderId="0" xfId="0" applyNumberFormat="1" applyFont="1" applyFill="1"/>
    <xf numFmtId="3" fontId="11" fillId="8" borderId="0" xfId="0" applyNumberFormat="1" applyFont="1" applyFill="1"/>
    <xf numFmtId="0" fontId="9" fillId="8" borderId="0" xfId="0" applyFont="1" applyFill="1"/>
    <xf numFmtId="0" fontId="14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14" fillId="8" borderId="0" xfId="0" applyFont="1" applyFill="1" applyAlignment="1">
      <alignment wrapText="1"/>
    </xf>
    <xf numFmtId="0" fontId="3" fillId="8" borderId="0" xfId="0" applyFont="1" applyFill="1" applyAlignment="1">
      <alignment vertical="top" wrapText="1"/>
    </xf>
    <xf numFmtId="0" fontId="0" fillId="8" borderId="0" xfId="0" applyFill="1" applyAlignment="1">
      <alignment vertical="top" wrapText="1"/>
    </xf>
    <xf numFmtId="0" fontId="14" fillId="8" borderId="0" xfId="0" applyFont="1" applyFill="1"/>
    <xf numFmtId="0" fontId="11" fillId="15" borderId="40" xfId="0" applyFont="1" applyFill="1" applyBorder="1" applyAlignment="1">
      <alignment horizontal="center" vertical="top" wrapText="1"/>
    </xf>
    <xf numFmtId="0" fontId="12" fillId="0" borderId="2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29" xfId="0" applyFont="1" applyBorder="1" applyAlignment="1">
      <alignment horizontal="right" vertical="center"/>
    </xf>
    <xf numFmtId="0" fontId="12" fillId="0" borderId="2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1" fontId="28" fillId="0" borderId="12" xfId="2" applyNumberFormat="1" applyFont="1" applyBorder="1" applyAlignment="1">
      <alignment horizontal="right" vertical="center" wrapText="1"/>
    </xf>
    <xf numFmtId="0" fontId="12" fillId="11" borderId="34" xfId="0" applyFont="1" applyFill="1" applyBorder="1" applyAlignment="1">
      <alignment vertical="center"/>
    </xf>
    <xf numFmtId="0" fontId="12" fillId="11" borderId="44" xfId="0" applyFont="1" applyFill="1" applyBorder="1" applyAlignment="1">
      <alignment vertical="center"/>
    </xf>
    <xf numFmtId="0" fontId="12" fillId="8" borderId="25" xfId="0" applyFont="1" applyFill="1" applyBorder="1" applyAlignment="1" applyProtection="1">
      <alignment vertical="center"/>
      <protection locked="0"/>
    </xf>
    <xf numFmtId="0" fontId="12" fillId="8" borderId="25" xfId="0" applyFont="1" applyFill="1" applyBorder="1" applyAlignment="1">
      <alignment vertical="center"/>
    </xf>
    <xf numFmtId="0" fontId="30" fillId="8" borderId="22" xfId="0" applyFont="1" applyFill="1" applyBorder="1" applyAlignment="1">
      <alignment vertical="center"/>
    </xf>
    <xf numFmtId="0" fontId="30" fillId="8" borderId="12" xfId="0" applyFont="1" applyFill="1" applyBorder="1" applyAlignment="1">
      <alignment vertical="center"/>
    </xf>
    <xf numFmtId="0" fontId="30" fillId="0" borderId="12" xfId="0" applyFont="1" applyBorder="1" applyAlignment="1">
      <alignment horizontal="right" vertical="center"/>
    </xf>
    <xf numFmtId="0" fontId="30" fillId="0" borderId="29" xfId="0" applyFont="1" applyBorder="1" applyAlignment="1">
      <alignment horizontal="right" vertical="center"/>
    </xf>
    <xf numFmtId="0" fontId="30" fillId="0" borderId="22" xfId="0" applyFont="1" applyBorder="1" applyAlignment="1">
      <alignment horizontal="right" vertical="center"/>
    </xf>
    <xf numFmtId="0" fontId="30" fillId="0" borderId="29" xfId="0" applyFont="1" applyBorder="1" applyAlignment="1">
      <alignment vertical="center"/>
    </xf>
    <xf numFmtId="0" fontId="30" fillId="0" borderId="40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1" fontId="32" fillId="0" borderId="29" xfId="2" applyNumberFormat="1" applyFont="1" applyBorder="1" applyAlignment="1">
      <alignment horizontal="right" vertical="center" wrapText="1"/>
    </xf>
    <xf numFmtId="1" fontId="32" fillId="0" borderId="22" xfId="2" applyNumberFormat="1" applyFont="1" applyBorder="1" applyAlignment="1">
      <alignment horizontal="right" vertical="center" wrapText="1"/>
    </xf>
    <xf numFmtId="1" fontId="32" fillId="0" borderId="12" xfId="2" applyNumberFormat="1" applyFont="1" applyBorder="1" applyAlignment="1">
      <alignment horizontal="right" vertical="center" wrapText="1"/>
    </xf>
    <xf numFmtId="0" fontId="30" fillId="0" borderId="25" xfId="0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vertical="center"/>
      <protection locked="0"/>
    </xf>
    <xf numFmtId="49" fontId="12" fillId="0" borderId="25" xfId="2" applyNumberFormat="1" applyFont="1" applyBorder="1" applyAlignment="1" applyProtection="1">
      <alignment horizontal="right" vertical="center" wrapText="1"/>
      <protection locked="0"/>
    </xf>
    <xf numFmtId="49" fontId="12" fillId="0" borderId="32" xfId="2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vertical="center"/>
    </xf>
    <xf numFmtId="1" fontId="12" fillId="0" borderId="25" xfId="2" applyNumberFormat="1" applyFont="1" applyBorder="1" applyAlignment="1" applyProtection="1">
      <alignment horizontal="right" vertical="center" wrapText="1"/>
      <protection locked="0"/>
    </xf>
    <xf numFmtId="0" fontId="12" fillId="8" borderId="25" xfId="0" applyFont="1" applyFill="1" applyBorder="1" applyAlignment="1" applyProtection="1">
      <alignment horizontal="right" vertical="center"/>
      <protection locked="0"/>
    </xf>
    <xf numFmtId="0" fontId="12" fillId="12" borderId="26" xfId="0" applyFont="1" applyFill="1" applyBorder="1" applyAlignment="1">
      <alignment horizontal="right" vertical="center"/>
    </xf>
    <xf numFmtId="1" fontId="12" fillId="0" borderId="1" xfId="2" applyNumberFormat="1" applyFont="1" applyBorder="1" applyAlignment="1" applyProtection="1">
      <alignment horizontal="right" vertical="center" wrapText="1"/>
      <protection locked="0"/>
    </xf>
    <xf numFmtId="0" fontId="12" fillId="12" borderId="27" xfId="0" applyFont="1" applyFill="1" applyBorder="1" applyAlignment="1">
      <alignment horizontal="right" vertical="center"/>
    </xf>
    <xf numFmtId="1" fontId="12" fillId="0" borderId="32" xfId="2" applyNumberFormat="1" applyFont="1" applyBorder="1" applyAlignment="1" applyProtection="1">
      <alignment horizontal="right" vertical="center" wrapText="1"/>
      <protection locked="0"/>
    </xf>
    <xf numFmtId="0" fontId="12" fillId="12" borderId="33" xfId="0" applyFont="1" applyFill="1" applyBorder="1" applyAlignment="1">
      <alignment horizontal="right" vertical="center"/>
    </xf>
    <xf numFmtId="1" fontId="12" fillId="0" borderId="35" xfId="0" applyNumberFormat="1" applyFont="1" applyBorder="1" applyAlignment="1" applyProtection="1">
      <alignment horizontal="right" vertical="center" wrapText="1"/>
      <protection locked="0"/>
    </xf>
    <xf numFmtId="0" fontId="12" fillId="0" borderId="35" xfId="0" applyFont="1" applyBorder="1" applyAlignment="1" applyProtection="1">
      <alignment horizontal="right" vertical="center"/>
      <protection locked="0"/>
    </xf>
    <xf numFmtId="1" fontId="12" fillId="0" borderId="25" xfId="0" applyNumberFormat="1" applyFont="1" applyBorder="1" applyAlignment="1" applyProtection="1">
      <alignment horizontal="right" vertical="center"/>
      <protection locked="0"/>
    </xf>
    <xf numFmtId="1" fontId="12" fillId="0" borderId="1" xfId="0" applyNumberFormat="1" applyFont="1" applyBorder="1" applyAlignment="1" applyProtection="1">
      <alignment horizontal="right" vertical="center"/>
      <protection locked="0"/>
    </xf>
    <xf numFmtId="1" fontId="12" fillId="0" borderId="32" xfId="0" applyNumberFormat="1" applyFont="1" applyBorder="1" applyAlignment="1" applyProtection="1">
      <alignment horizontal="right" vertical="center"/>
      <protection locked="0"/>
    </xf>
    <xf numFmtId="1" fontId="12" fillId="0" borderId="25" xfId="0" applyNumberFormat="1" applyFont="1" applyBorder="1" applyAlignment="1" applyProtection="1">
      <alignment horizontal="right" vertical="center" wrapText="1"/>
      <protection locked="0"/>
    </xf>
    <xf numFmtId="1" fontId="12" fillId="0" borderId="1" xfId="0" applyNumberFormat="1" applyFont="1" applyBorder="1" applyAlignment="1" applyProtection="1">
      <alignment horizontal="right" vertical="center" wrapText="1"/>
      <protection locked="0"/>
    </xf>
    <xf numFmtId="1" fontId="12" fillId="0" borderId="32" xfId="0" applyNumberFormat="1" applyFont="1" applyBorder="1" applyAlignment="1" applyProtection="1">
      <alignment horizontal="right" vertical="center" wrapText="1"/>
      <protection locked="0"/>
    </xf>
    <xf numFmtId="0" fontId="9" fillId="0" borderId="16" xfId="0" applyFont="1" applyBorder="1"/>
    <xf numFmtId="0" fontId="19" fillId="0" borderId="46" xfId="0" applyFont="1" applyBorder="1" applyAlignment="1">
      <alignment horizontal="left" vertical="center"/>
    </xf>
    <xf numFmtId="0" fontId="11" fillId="6" borderId="40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left"/>
    </xf>
    <xf numFmtId="165" fontId="12" fillId="0" borderId="1" xfId="0" applyNumberFormat="1" applyFont="1" applyBorder="1" applyAlignment="1" applyProtection="1">
      <alignment horizontal="right" vertical="center" wrapText="1"/>
      <protection locked="0"/>
    </xf>
    <xf numFmtId="165" fontId="12" fillId="0" borderId="32" xfId="0" applyNumberFormat="1" applyFont="1" applyBorder="1" applyAlignment="1" applyProtection="1">
      <alignment horizontal="right" vertical="center" wrapText="1"/>
      <protection locked="0"/>
    </xf>
    <xf numFmtId="165" fontId="12" fillId="0" borderId="25" xfId="0" applyNumberFormat="1" applyFont="1" applyBorder="1" applyAlignment="1" applyProtection="1">
      <alignment horizontal="right" vertical="center" wrapText="1"/>
      <protection locked="0"/>
    </xf>
    <xf numFmtId="165" fontId="12" fillId="0" borderId="1" xfId="0" applyNumberFormat="1" applyFont="1" applyBorder="1" applyAlignment="1" applyProtection="1">
      <alignment vertical="center"/>
      <protection locked="0"/>
    </xf>
    <xf numFmtId="0" fontId="12" fillId="11" borderId="47" xfId="0" applyFont="1" applyFill="1" applyBorder="1" applyAlignment="1">
      <alignment vertical="center"/>
    </xf>
    <xf numFmtId="165" fontId="12" fillId="0" borderId="2" xfId="0" applyNumberFormat="1" applyFont="1" applyBorder="1" applyAlignment="1" applyProtection="1">
      <alignment vertical="center"/>
      <protection locked="0"/>
    </xf>
    <xf numFmtId="165" fontId="12" fillId="0" borderId="7" xfId="0" applyNumberFormat="1" applyFont="1" applyBorder="1" applyAlignment="1" applyProtection="1">
      <alignment horizontal="right" vertical="center" wrapText="1"/>
      <protection locked="0"/>
    </xf>
    <xf numFmtId="1" fontId="28" fillId="0" borderId="7" xfId="2" applyNumberFormat="1" applyFont="1" applyBorder="1" applyAlignment="1">
      <alignment horizontal="right" vertical="center" wrapText="1"/>
    </xf>
    <xf numFmtId="1" fontId="28" fillId="0" borderId="17" xfId="2" applyNumberFormat="1" applyFont="1" applyBorder="1" applyAlignment="1">
      <alignment horizontal="right" vertical="center" wrapText="1"/>
    </xf>
    <xf numFmtId="1" fontId="28" fillId="0" borderId="7" xfId="2" applyNumberFormat="1" applyFont="1" applyBorder="1" applyAlignment="1" applyProtection="1">
      <alignment horizontal="right" vertical="center" wrapText="1"/>
      <protection locked="0"/>
    </xf>
    <xf numFmtId="0" fontId="11" fillId="0" borderId="19" xfId="0" applyFont="1" applyBorder="1" applyAlignment="1" applyProtection="1">
      <alignment horizontal="left" vertical="top"/>
      <protection locked="0"/>
    </xf>
    <xf numFmtId="0" fontId="9" fillId="0" borderId="48" xfId="0" applyFont="1" applyBorder="1"/>
    <xf numFmtId="165" fontId="12" fillId="0" borderId="2" xfId="0" applyNumberFormat="1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left"/>
      <protection locked="0"/>
    </xf>
    <xf numFmtId="0" fontId="12" fillId="12" borderId="34" xfId="0" applyFont="1" applyFill="1" applyBorder="1" applyAlignment="1">
      <alignment horizontal="right" vertical="center"/>
    </xf>
    <xf numFmtId="1" fontId="12" fillId="0" borderId="2" xfId="0" applyNumberFormat="1" applyFont="1" applyBorder="1" applyAlignment="1" applyProtection="1">
      <alignment horizontal="right" vertical="center" wrapText="1"/>
      <protection locked="0"/>
    </xf>
    <xf numFmtId="165" fontId="12" fillId="0" borderId="25" xfId="0" applyNumberFormat="1" applyFont="1" applyBorder="1" applyAlignment="1" applyProtection="1">
      <alignment horizontal="right" vertical="center"/>
      <protection locked="0"/>
    </xf>
    <xf numFmtId="165" fontId="12" fillId="0" borderId="1" xfId="0" applyNumberFormat="1" applyFont="1" applyBorder="1" applyAlignment="1" applyProtection="1">
      <alignment horizontal="right" vertical="center"/>
      <protection locked="0"/>
    </xf>
    <xf numFmtId="165" fontId="12" fillId="0" borderId="32" xfId="0" applyNumberFormat="1" applyFont="1" applyBorder="1" applyAlignment="1" applyProtection="1">
      <alignment horizontal="right" vertical="center"/>
      <protection locked="0"/>
    </xf>
    <xf numFmtId="0" fontId="12" fillId="12" borderId="49" xfId="0" applyFont="1" applyFill="1" applyBorder="1" applyAlignment="1">
      <alignment horizontal="right" vertical="center"/>
    </xf>
    <xf numFmtId="0" fontId="11" fillId="0" borderId="50" xfId="0" applyFont="1" applyBorder="1" applyAlignment="1" applyProtection="1">
      <alignment horizontal="left"/>
      <protection locked="0"/>
    </xf>
    <xf numFmtId="0" fontId="12" fillId="0" borderId="48" xfId="0" applyFont="1" applyBorder="1" applyAlignment="1" applyProtection="1">
      <alignment horizontal="left"/>
      <protection locked="0"/>
    </xf>
    <xf numFmtId="0" fontId="12" fillId="0" borderId="48" xfId="0" applyFont="1" applyBorder="1" applyAlignment="1" applyProtection="1">
      <alignment horizontal="left" indent="1"/>
      <protection locked="0"/>
    </xf>
    <xf numFmtId="0" fontId="12" fillId="0" borderId="51" xfId="0" applyFont="1" applyBorder="1" applyAlignment="1" applyProtection="1">
      <alignment horizontal="left"/>
      <protection locked="0"/>
    </xf>
    <xf numFmtId="0" fontId="26" fillId="8" borderId="51" xfId="0" applyFont="1" applyFill="1" applyBorder="1" applyAlignment="1" applyProtection="1">
      <alignment horizontal="left" vertical="top" indent="1"/>
      <protection locked="0"/>
    </xf>
    <xf numFmtId="0" fontId="11" fillId="0" borderId="48" xfId="0" applyFont="1" applyBorder="1" applyAlignment="1" applyProtection="1">
      <alignment horizontal="left"/>
      <protection locked="0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13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11" borderId="1" xfId="0" applyFont="1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13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49" fontId="12" fillId="0" borderId="29" xfId="0" applyNumberFormat="1" applyFont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49" fontId="12" fillId="0" borderId="23" xfId="0" applyNumberFormat="1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49" fontId="12" fillId="0" borderId="29" xfId="0" applyNumberFormat="1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1" fillId="11" borderId="1" xfId="0" applyFont="1" applyFill="1" applyBorder="1" applyAlignment="1">
      <alignment horizontal="center" vertical="center" wrapText="1"/>
    </xf>
    <xf numFmtId="49" fontId="12" fillId="0" borderId="22" xfId="0" applyNumberFormat="1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49" fontId="12" fillId="0" borderId="22" xfId="0" applyNumberFormat="1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30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49" fontId="12" fillId="0" borderId="12" xfId="0" applyNumberFormat="1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1" fillId="0" borderId="3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1" fillId="7" borderId="11" xfId="0" applyFont="1" applyFill="1" applyBorder="1" applyAlignment="1">
      <alignment horizontal="center"/>
    </xf>
    <xf numFmtId="0" fontId="42" fillId="7" borderId="42" xfId="0" applyFont="1" applyFill="1" applyBorder="1" applyAlignment="1">
      <alignment horizontal="center"/>
    </xf>
    <xf numFmtId="49" fontId="31" fillId="0" borderId="40" xfId="0" applyNumberFormat="1" applyFont="1" applyBorder="1" applyProtection="1">
      <protection locked="0"/>
    </xf>
    <xf numFmtId="0" fontId="30" fillId="0" borderId="37" xfId="0" applyFont="1" applyBorder="1" applyProtection="1">
      <protection locked="0"/>
    </xf>
    <xf numFmtId="0" fontId="30" fillId="0" borderId="36" xfId="0" applyFont="1" applyBorder="1" applyProtection="1">
      <protection locked="0"/>
    </xf>
    <xf numFmtId="0" fontId="30" fillId="8" borderId="22" xfId="0" applyFont="1" applyFill="1" applyBorder="1" applyProtection="1">
      <protection locked="0"/>
    </xf>
    <xf numFmtId="0" fontId="30" fillId="0" borderId="23" xfId="0" applyFont="1" applyBorder="1" applyProtection="1">
      <protection locked="0"/>
    </xf>
    <xf numFmtId="0" fontId="30" fillId="0" borderId="24" xfId="0" applyFont="1" applyBorder="1" applyProtection="1">
      <protection locked="0"/>
    </xf>
    <xf numFmtId="49" fontId="31" fillId="0" borderId="22" xfId="0" applyNumberFormat="1" applyFont="1" applyBorder="1" applyProtection="1">
      <protection locked="0"/>
    </xf>
    <xf numFmtId="49" fontId="31" fillId="0" borderId="12" xfId="0" applyNumberFormat="1" applyFont="1" applyBorder="1" applyProtection="1">
      <protection locked="0"/>
    </xf>
    <xf numFmtId="0" fontId="30" fillId="0" borderId="4" xfId="0" applyFont="1" applyBorder="1" applyProtection="1">
      <protection locked="0"/>
    </xf>
    <xf numFmtId="0" fontId="30" fillId="0" borderId="5" xfId="0" applyFont="1" applyBorder="1" applyProtection="1">
      <protection locked="0"/>
    </xf>
    <xf numFmtId="0" fontId="30" fillId="8" borderId="12" xfId="0" applyFont="1" applyFill="1" applyBorder="1" applyProtection="1">
      <protection locked="0"/>
    </xf>
    <xf numFmtId="0" fontId="30" fillId="0" borderId="12" xfId="0" applyFont="1" applyBorder="1" applyAlignment="1" applyProtection="1">
      <alignment vertical="center"/>
      <protection locked="0"/>
    </xf>
    <xf numFmtId="0" fontId="30" fillId="0" borderId="4" xfId="0" applyFont="1" applyBorder="1" applyAlignment="1" applyProtection="1">
      <alignment vertical="center"/>
      <protection locked="0"/>
    </xf>
    <xf numFmtId="0" fontId="30" fillId="0" borderId="5" xfId="0" applyFont="1" applyBorder="1" applyAlignment="1" applyProtection="1">
      <alignment vertical="center"/>
      <protection locked="0"/>
    </xf>
    <xf numFmtId="0" fontId="30" fillId="0" borderId="29" xfId="0" applyFont="1" applyBorder="1" applyAlignment="1" applyProtection="1">
      <alignment vertical="center"/>
      <protection locked="0"/>
    </xf>
    <xf numFmtId="0" fontId="30" fillId="0" borderId="30" xfId="0" applyFont="1" applyBorder="1" applyAlignment="1" applyProtection="1">
      <alignment vertical="center"/>
      <protection locked="0"/>
    </xf>
    <xf numFmtId="0" fontId="30" fillId="0" borderId="31" xfId="0" applyFont="1" applyBorder="1" applyAlignment="1" applyProtection="1">
      <alignment vertical="center"/>
      <protection locked="0"/>
    </xf>
    <xf numFmtId="0" fontId="11" fillId="6" borderId="35" xfId="0" applyFont="1" applyFill="1" applyBorder="1" applyAlignment="1">
      <alignment horizontal="center" vertical="top" wrapText="1"/>
    </xf>
    <xf numFmtId="49" fontId="31" fillId="0" borderId="29" xfId="0" applyNumberFormat="1" applyFont="1" applyBorder="1" applyProtection="1">
      <protection locked="0"/>
    </xf>
    <xf numFmtId="49" fontId="31" fillId="0" borderId="30" xfId="0" applyNumberFormat="1" applyFont="1" applyBorder="1" applyProtection="1">
      <protection locked="0"/>
    </xf>
    <xf numFmtId="49" fontId="31" fillId="0" borderId="31" xfId="0" applyNumberFormat="1" applyFont="1" applyBorder="1" applyProtection="1">
      <protection locked="0"/>
    </xf>
    <xf numFmtId="49" fontId="31" fillId="0" borderId="4" xfId="0" applyNumberFormat="1" applyFont="1" applyBorder="1" applyProtection="1">
      <protection locked="0"/>
    </xf>
    <xf numFmtId="49" fontId="31" fillId="0" borderId="5" xfId="0" applyNumberFormat="1" applyFont="1" applyBorder="1" applyProtection="1">
      <protection locked="0"/>
    </xf>
    <xf numFmtId="49" fontId="31" fillId="0" borderId="23" xfId="0" applyNumberFormat="1" applyFont="1" applyBorder="1" applyProtection="1">
      <protection locked="0"/>
    </xf>
    <xf numFmtId="49" fontId="31" fillId="0" borderId="24" xfId="0" applyNumberFormat="1" applyFont="1" applyBorder="1" applyProtection="1">
      <protection locked="0"/>
    </xf>
    <xf numFmtId="0" fontId="30" fillId="0" borderId="30" xfId="0" applyFont="1" applyBorder="1" applyProtection="1">
      <protection locked="0"/>
    </xf>
    <xf numFmtId="0" fontId="30" fillId="0" borderId="31" xfId="0" applyFont="1" applyBorder="1" applyProtection="1">
      <protection locked="0"/>
    </xf>
    <xf numFmtId="0" fontId="30" fillId="8" borderId="12" xfId="3" applyFont="1" applyFill="1" applyBorder="1" applyAlignment="1" applyProtection="1">
      <protection locked="0"/>
    </xf>
    <xf numFmtId="0" fontId="30" fillId="8" borderId="29" xfId="3" applyFont="1" applyFill="1" applyBorder="1" applyAlignment="1" applyProtection="1"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23" xfId="0" applyFont="1" applyBorder="1" applyAlignment="1" applyProtection="1">
      <alignment vertical="center"/>
      <protection locked="0"/>
    </xf>
    <xf numFmtId="0" fontId="30" fillId="0" borderId="24" xfId="0" applyFont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1" fillId="8" borderId="22" xfId="0" applyNumberFormat="1" applyFont="1" applyFill="1" applyBorder="1" applyProtection="1">
      <protection locked="0"/>
    </xf>
    <xf numFmtId="0" fontId="11" fillId="15" borderId="35" xfId="0" applyFont="1" applyFill="1" applyBorder="1" applyAlignment="1">
      <alignment horizontal="center" vertical="top" wrapText="1"/>
    </xf>
    <xf numFmtId="0" fontId="11" fillId="11" borderId="1" xfId="0" applyFont="1" applyFill="1" applyBorder="1" applyAlignment="1">
      <alignment horizontal="center" vertical="top" wrapText="1"/>
    </xf>
    <xf numFmtId="3" fontId="12" fillId="5" borderId="11" xfId="0" applyNumberFormat="1" applyFont="1" applyFill="1" applyBorder="1" applyAlignment="1">
      <alignment horizontal="center" wrapText="1"/>
    </xf>
    <xf numFmtId="0" fontId="14" fillId="0" borderId="42" xfId="0" applyFont="1" applyBorder="1" applyAlignment="1">
      <alignment wrapText="1"/>
    </xf>
    <xf numFmtId="0" fontId="14" fillId="0" borderId="0" xfId="0" applyFont="1" applyAlignment="1">
      <alignment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6" borderId="1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2" fillId="13" borderId="1" xfId="0" applyFont="1" applyFill="1" applyBorder="1" applyAlignment="1">
      <alignment vertical="center" wrapText="1"/>
    </xf>
    <xf numFmtId="0" fontId="14" fillId="1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11" borderId="1" xfId="0" applyFont="1" applyFill="1" applyBorder="1" applyAlignment="1">
      <alignment wrapText="1"/>
    </xf>
    <xf numFmtId="0" fontId="14" fillId="11" borderId="1" xfId="0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21" fillId="0" borderId="3" xfId="0" applyFon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12" fillId="6" borderId="1" xfId="0" applyFont="1" applyFill="1" applyBorder="1" applyAlignment="1">
      <alignment wrapText="1"/>
    </xf>
    <xf numFmtId="0" fontId="14" fillId="6" borderId="1" xfId="0" applyFont="1" applyFill="1" applyBorder="1" applyAlignment="1">
      <alignment wrapText="1"/>
    </xf>
    <xf numFmtId="0" fontId="13" fillId="8" borderId="0" xfId="0" applyFont="1" applyFill="1" applyAlignment="1">
      <alignment vertical="center" wrapText="1"/>
    </xf>
    <xf numFmtId="0" fontId="46" fillId="8" borderId="0" xfId="0" applyFont="1" applyFill="1" applyAlignment="1">
      <alignment vertical="center" wrapText="1"/>
    </xf>
    <xf numFmtId="0" fontId="15" fillId="0" borderId="12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1" fillId="6" borderId="1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29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21" fillId="0" borderId="0" xfId="0" applyFont="1"/>
    <xf numFmtId="0" fontId="21" fillId="0" borderId="3" xfId="0" applyFont="1" applyBorder="1" applyProtection="1">
      <protection locked="0"/>
    </xf>
    <xf numFmtId="0" fontId="8" fillId="0" borderId="3" xfId="0" applyFont="1" applyBorder="1" applyProtection="1">
      <protection locked="0"/>
    </xf>
    <xf numFmtId="49" fontId="12" fillId="8" borderId="12" xfId="0" applyNumberFormat="1" applyFont="1" applyFill="1" applyBorder="1" applyAlignment="1" applyProtection="1">
      <alignment vertical="center" wrapText="1"/>
      <protection locked="0"/>
    </xf>
    <xf numFmtId="0" fontId="12" fillId="8" borderId="4" xfId="0" applyFont="1" applyFill="1" applyBorder="1" applyAlignment="1" applyProtection="1">
      <alignment vertical="center" wrapText="1"/>
      <protection locked="0"/>
    </xf>
    <xf numFmtId="0" fontId="12" fillId="8" borderId="5" xfId="0" applyFont="1" applyFill="1" applyBorder="1" applyAlignment="1" applyProtection="1">
      <alignment vertical="center" wrapText="1"/>
      <protection locked="0"/>
    </xf>
    <xf numFmtId="0" fontId="12" fillId="13" borderId="20" xfId="0" applyFont="1" applyFill="1" applyBorder="1" applyAlignment="1">
      <alignment vertical="top" wrapText="1"/>
    </xf>
    <xf numFmtId="0" fontId="14" fillId="13" borderId="20" xfId="0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9" fontId="27" fillId="8" borderId="25" xfId="0" applyNumberFormat="1" applyFont="1" applyFill="1" applyBorder="1" applyAlignment="1" applyProtection="1">
      <alignment vertical="center"/>
      <protection locked="0"/>
    </xf>
    <xf numFmtId="0" fontId="12" fillId="0" borderId="25" xfId="0" applyFont="1" applyBorder="1" applyAlignment="1" applyProtection="1">
      <alignment vertical="center"/>
      <protection locked="0"/>
    </xf>
    <xf numFmtId="0" fontId="12" fillId="12" borderId="1" xfId="0" applyFont="1" applyFill="1" applyBorder="1" applyAlignment="1">
      <alignment wrapText="1"/>
    </xf>
    <xf numFmtId="0" fontId="14" fillId="12" borderId="1" xfId="0" applyFont="1" applyFill="1" applyBorder="1" applyAlignment="1">
      <alignment wrapText="1"/>
    </xf>
    <xf numFmtId="0" fontId="15" fillId="0" borderId="0" xfId="0" applyFont="1" applyAlignment="1">
      <alignment wrapText="1"/>
    </xf>
    <xf numFmtId="49" fontId="27" fillId="8" borderId="1" xfId="0" applyNumberFormat="1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center"/>
      <protection locked="0"/>
    </xf>
    <xf numFmtId="49" fontId="27" fillId="0" borderId="22" xfId="0" applyNumberFormat="1" applyFont="1" applyBorder="1" applyAlignment="1" applyProtection="1">
      <alignment vertical="center"/>
      <protection locked="0"/>
    </xf>
    <xf numFmtId="0" fontId="12" fillId="0" borderId="23" xfId="0" applyFont="1" applyBorder="1" applyAlignment="1" applyProtection="1">
      <alignment vertical="center"/>
      <protection locked="0"/>
    </xf>
    <xf numFmtId="0" fontId="12" fillId="0" borderId="24" xfId="0" applyFont="1" applyBorder="1" applyAlignment="1" applyProtection="1">
      <alignment vertical="center"/>
      <protection locked="0"/>
    </xf>
    <xf numFmtId="49" fontId="27" fillId="0" borderId="12" xfId="0" applyNumberFormat="1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49" fontId="27" fillId="0" borderId="29" xfId="0" applyNumberFormat="1" applyFont="1" applyBorder="1" applyAlignment="1" applyProtection="1">
      <alignment vertical="center"/>
      <protection locked="0"/>
    </xf>
    <xf numFmtId="0" fontId="12" fillId="0" borderId="30" xfId="0" applyFont="1" applyBorder="1" applyAlignment="1" applyProtection="1">
      <alignment vertical="center"/>
      <protection locked="0"/>
    </xf>
    <xf numFmtId="0" fontId="12" fillId="0" borderId="31" xfId="0" applyFont="1" applyBorder="1" applyAlignment="1" applyProtection="1">
      <alignment vertical="center"/>
      <protection locked="0"/>
    </xf>
    <xf numFmtId="0" fontId="1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1" fillId="0" borderId="0" xfId="0" applyFont="1" applyAlignment="1">
      <alignment wrapText="1"/>
    </xf>
    <xf numFmtId="0" fontId="11" fillId="7" borderId="11" xfId="0" applyFont="1" applyFill="1" applyBorder="1" applyAlignment="1">
      <alignment horizontal="center" wrapText="1"/>
    </xf>
    <xf numFmtId="0" fontId="42" fillId="7" borderId="42" xfId="0" applyFont="1" applyFill="1" applyBorder="1" applyAlignment="1">
      <alignment horizontal="center" wrapText="1"/>
    </xf>
    <xf numFmtId="0" fontId="12" fillId="0" borderId="12" xfId="0" applyFont="1" applyBorder="1" applyAlignment="1" applyProtection="1">
      <alignment vertical="center"/>
      <protection locked="0"/>
    </xf>
    <xf numFmtId="0" fontId="12" fillId="0" borderId="29" xfId="0" applyFont="1" applyBorder="1" applyAlignment="1" applyProtection="1">
      <alignment vertical="center"/>
      <protection locked="0"/>
    </xf>
    <xf numFmtId="49" fontId="27" fillId="0" borderId="40" xfId="0" applyNumberFormat="1" applyFont="1" applyBorder="1" applyAlignment="1" applyProtection="1">
      <alignment vertical="center"/>
      <protection locked="0"/>
    </xf>
    <xf numFmtId="0" fontId="12" fillId="0" borderId="37" xfId="0" applyFont="1" applyBorder="1" applyAlignment="1" applyProtection="1">
      <alignment vertical="center"/>
      <protection locked="0"/>
    </xf>
    <xf numFmtId="0" fontId="12" fillId="0" borderId="36" xfId="0" applyFont="1" applyBorder="1" applyAlignment="1" applyProtection="1">
      <alignment vertical="center"/>
      <protection locked="0"/>
    </xf>
    <xf numFmtId="49" fontId="27" fillId="0" borderId="1" xfId="0" applyNumberFormat="1" applyFont="1" applyBorder="1" applyAlignment="1" applyProtection="1">
      <alignment vertical="center"/>
      <protection locked="0"/>
    </xf>
    <xf numFmtId="0" fontId="12" fillId="8" borderId="12" xfId="3" applyFont="1" applyFill="1" applyBorder="1" applyAlignment="1" applyProtection="1">
      <alignment vertical="center"/>
      <protection locked="0"/>
    </xf>
    <xf numFmtId="0" fontId="12" fillId="8" borderId="12" xfId="0" applyFont="1" applyFill="1" applyBorder="1" applyAlignment="1" applyProtection="1">
      <alignment vertical="center"/>
      <protection locked="0"/>
    </xf>
    <xf numFmtId="0" fontId="12" fillId="8" borderId="22" xfId="0" applyFont="1" applyFill="1" applyBorder="1" applyAlignment="1" applyProtection="1">
      <alignment vertical="center"/>
      <protection locked="0"/>
    </xf>
    <xf numFmtId="0" fontId="14" fillId="0" borderId="23" xfId="0" applyFont="1" applyBorder="1" applyAlignment="1" applyProtection="1">
      <alignment vertical="center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49" fontId="12" fillId="8" borderId="22" xfId="0" applyNumberFormat="1" applyFont="1" applyFill="1" applyBorder="1" applyAlignment="1" applyProtection="1">
      <alignment horizontal="left" vertical="center"/>
      <protection locked="0"/>
    </xf>
    <xf numFmtId="0" fontId="14" fillId="0" borderId="23" xfId="0" applyFont="1" applyBorder="1" applyAlignment="1" applyProtection="1">
      <alignment horizontal="left" vertical="center"/>
      <protection locked="0"/>
    </xf>
    <xf numFmtId="0" fontId="14" fillId="0" borderId="24" xfId="0" applyFont="1" applyBorder="1" applyAlignment="1" applyProtection="1">
      <alignment horizontal="left" vertical="center"/>
      <protection locked="0"/>
    </xf>
    <xf numFmtId="49" fontId="27" fillId="0" borderId="25" xfId="0" applyNumberFormat="1" applyFont="1" applyBorder="1" applyAlignment="1" applyProtection="1">
      <alignment vertical="center"/>
      <protection locked="0"/>
    </xf>
    <xf numFmtId="49" fontId="27" fillId="0" borderId="32" xfId="0" applyNumberFormat="1" applyFont="1" applyBorder="1" applyAlignment="1" applyProtection="1">
      <alignment vertical="center"/>
      <protection locked="0"/>
    </xf>
    <xf numFmtId="0" fontId="12" fillId="0" borderId="32" xfId="0" applyFont="1" applyBorder="1" applyAlignment="1" applyProtection="1">
      <alignment vertical="center"/>
      <protection locked="0"/>
    </xf>
    <xf numFmtId="49" fontId="27" fillId="0" borderId="7" xfId="0" applyNumberFormat="1" applyFont="1" applyBorder="1" applyAlignment="1" applyProtection="1">
      <alignment vertical="center"/>
      <protection locked="0"/>
    </xf>
    <xf numFmtId="49" fontId="27" fillId="0" borderId="2" xfId="0" applyNumberFormat="1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6" fillId="0" borderId="1" xfId="0" applyFont="1" applyBorder="1" applyAlignment="1">
      <alignment horizontal="center" wrapText="1"/>
    </xf>
    <xf numFmtId="0" fontId="12" fillId="0" borderId="22" xfId="0" applyFont="1" applyBorder="1" applyAlignment="1" applyProtection="1">
      <alignment vertical="center"/>
      <protection locked="0"/>
    </xf>
    <xf numFmtId="0" fontId="12" fillId="8" borderId="29" xfId="3" applyFont="1" applyFill="1" applyBorder="1" applyAlignment="1" applyProtection="1">
      <alignment vertical="center"/>
      <protection locked="0"/>
    </xf>
    <xf numFmtId="49" fontId="27" fillId="0" borderId="13" xfId="0" applyNumberFormat="1" applyFont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21" fillId="0" borderId="3" xfId="0" applyFont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12" fillId="13" borderId="20" xfId="0" applyFont="1" applyFill="1" applyBorder="1" applyAlignment="1">
      <alignment vertical="center" wrapText="1"/>
    </xf>
    <xf numFmtId="0" fontId="14" fillId="13" borderId="20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13" fillId="3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" fillId="7" borderId="42" xfId="0" applyFont="1" applyFill="1" applyBorder="1" applyAlignment="1">
      <alignment horizontal="center" wrapText="1"/>
    </xf>
    <xf numFmtId="0" fontId="18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8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3" fontId="12" fillId="5" borderId="11" xfId="0" applyNumberFormat="1" applyFont="1" applyFill="1" applyBorder="1" applyAlignment="1" applyProtection="1">
      <alignment horizontal="center" wrapText="1"/>
      <protection locked="0"/>
    </xf>
    <xf numFmtId="0" fontId="14" fillId="0" borderId="42" xfId="0" applyFont="1" applyBorder="1" applyAlignment="1" applyProtection="1">
      <alignment wrapText="1"/>
      <protection locked="0"/>
    </xf>
    <xf numFmtId="0" fontId="24" fillId="0" borderId="0" xfId="0" applyFont="1" applyAlignment="1">
      <alignment wrapText="1"/>
    </xf>
    <xf numFmtId="0" fontId="11" fillId="10" borderId="39" xfId="0" applyFont="1" applyFill="1" applyBorder="1" applyAlignment="1">
      <alignment horizontal="center" vertical="top" wrapText="1"/>
    </xf>
    <xf numFmtId="0" fontId="11" fillId="10" borderId="35" xfId="0" applyFont="1" applyFill="1" applyBorder="1" applyAlignment="1">
      <alignment horizontal="center" vertical="top" wrapText="1"/>
    </xf>
    <xf numFmtId="3" fontId="12" fillId="5" borderId="42" xfId="0" applyNumberFormat="1" applyFont="1" applyFill="1" applyBorder="1" applyAlignment="1" applyProtection="1">
      <alignment horizontal="center" wrapText="1"/>
      <protection locked="0"/>
    </xf>
    <xf numFmtId="0" fontId="12" fillId="14" borderId="1" xfId="0" applyFont="1" applyFill="1" applyBorder="1" applyAlignment="1">
      <alignment wrapText="1"/>
    </xf>
    <xf numFmtId="0" fontId="14" fillId="14" borderId="1" xfId="0" applyFont="1" applyFill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7" fillId="2" borderId="0" xfId="0" applyFont="1" applyFill="1" applyAlignment="1" applyProtection="1">
      <alignment horizontal="left" vertical="center"/>
    </xf>
    <xf numFmtId="164" fontId="12" fillId="0" borderId="1" xfId="2" applyNumberFormat="1" applyFont="1" applyBorder="1" applyAlignment="1" applyProtection="1">
      <alignment horizontal="right" vertical="center" wrapText="1"/>
      <protection locked="0"/>
    </xf>
    <xf numFmtId="164" fontId="12" fillId="0" borderId="32" xfId="2" applyNumberFormat="1" applyFont="1" applyBorder="1" applyAlignment="1" applyProtection="1">
      <alignment horizontal="right" vertical="center" wrapText="1"/>
      <protection locked="0"/>
    </xf>
    <xf numFmtId="164" fontId="12" fillId="0" borderId="25" xfId="2" applyNumberFormat="1" applyFont="1" applyBorder="1" applyAlignment="1" applyProtection="1">
      <alignment horizontal="right" vertical="center" wrapText="1"/>
      <protection locked="0"/>
    </xf>
    <xf numFmtId="49" fontId="12" fillId="8" borderId="25" xfId="3" applyNumberFormat="1" applyFont="1" applyFill="1" applyBorder="1" applyAlignment="1" applyProtection="1">
      <alignment horizontal="right" vertical="center"/>
      <protection locked="0"/>
    </xf>
    <xf numFmtId="49" fontId="12" fillId="8" borderId="1" xfId="3" applyNumberFormat="1" applyFont="1" applyFill="1" applyBorder="1" applyAlignment="1" applyProtection="1">
      <alignment horizontal="right" vertical="center"/>
      <protection locked="0"/>
    </xf>
    <xf numFmtId="49" fontId="12" fillId="8" borderId="32" xfId="3" applyNumberFormat="1" applyFont="1" applyFill="1" applyBorder="1" applyAlignment="1" applyProtection="1">
      <alignment horizontal="right" vertical="center"/>
      <protection locked="0"/>
    </xf>
    <xf numFmtId="49" fontId="12" fillId="0" borderId="25" xfId="1" applyNumberFormat="1" applyFont="1" applyFill="1" applyBorder="1" applyAlignment="1" applyProtection="1">
      <alignment horizontal="right" vertical="center"/>
      <protection locked="0"/>
    </xf>
    <xf numFmtId="49" fontId="12" fillId="0" borderId="1" xfId="1" applyNumberFormat="1" applyFont="1" applyFill="1" applyBorder="1" applyAlignment="1" applyProtection="1">
      <alignment horizontal="right" vertical="center"/>
      <protection locked="0"/>
    </xf>
    <xf numFmtId="49" fontId="12" fillId="0" borderId="32" xfId="1" applyNumberFormat="1" applyFont="1" applyFill="1" applyBorder="1" applyAlignment="1" applyProtection="1">
      <alignment horizontal="right" vertical="center"/>
      <protection locked="0"/>
    </xf>
    <xf numFmtId="0" fontId="12" fillId="0" borderId="7" xfId="2" applyNumberFormat="1" applyFont="1" applyBorder="1" applyAlignment="1" applyProtection="1">
      <alignment horizontal="right" vertical="center" wrapText="1"/>
      <protection locked="0"/>
    </xf>
    <xf numFmtId="0" fontId="12" fillId="0" borderId="1" xfId="2" applyNumberFormat="1" applyFont="1" applyBorder="1" applyAlignment="1" applyProtection="1">
      <alignment horizontal="right" vertical="center" wrapText="1"/>
      <protection locked="0"/>
    </xf>
    <xf numFmtId="0" fontId="12" fillId="0" borderId="32" xfId="2" applyNumberFormat="1" applyFont="1" applyBorder="1" applyAlignment="1" applyProtection="1">
      <alignment horizontal="right" vertical="center" wrapText="1"/>
      <protection locked="0"/>
    </xf>
    <xf numFmtId="0" fontId="12" fillId="0" borderId="25" xfId="2" applyNumberFormat="1" applyFont="1" applyBorder="1" applyAlignment="1" applyProtection="1">
      <alignment horizontal="right" vertical="center" wrapText="1"/>
      <protection locked="0"/>
    </xf>
    <xf numFmtId="0" fontId="12" fillId="0" borderId="25" xfId="2" applyNumberFormat="1" applyFont="1" applyBorder="1" applyAlignment="1" applyProtection="1">
      <alignment horizontal="right" vertical="center" wrapText="1"/>
    </xf>
    <xf numFmtId="0" fontId="12" fillId="0" borderId="1" xfId="2" applyNumberFormat="1" applyFont="1" applyBorder="1" applyAlignment="1" applyProtection="1">
      <alignment horizontal="right" vertical="center" wrapText="1"/>
    </xf>
    <xf numFmtId="0" fontId="12" fillId="0" borderId="32" xfId="2" applyNumberFormat="1" applyFont="1" applyBorder="1" applyAlignment="1" applyProtection="1">
      <alignment horizontal="right" vertical="center" wrapText="1"/>
    </xf>
    <xf numFmtId="0" fontId="12" fillId="0" borderId="25" xfId="0" applyFont="1" applyBorder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center"/>
    </xf>
    <xf numFmtId="0" fontId="12" fillId="0" borderId="32" xfId="0" applyFont="1" applyBorder="1" applyAlignment="1" applyProtection="1">
      <alignment horizontal="right" vertical="center"/>
    </xf>
    <xf numFmtId="0" fontId="12" fillId="0" borderId="7" xfId="0" applyFont="1" applyBorder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49" fontId="30" fillId="8" borderId="25" xfId="1" applyNumberFormat="1" applyFont="1" applyFill="1" applyBorder="1" applyAlignment="1" applyProtection="1">
      <alignment horizontal="right"/>
      <protection locked="0"/>
    </xf>
    <xf numFmtId="49" fontId="30" fillId="8" borderId="1" xfId="1" applyNumberFormat="1" applyFont="1" applyFill="1" applyBorder="1" applyAlignment="1" applyProtection="1">
      <alignment horizontal="right"/>
      <protection locked="0"/>
    </xf>
    <xf numFmtId="49" fontId="30" fillId="8" borderId="1" xfId="3" applyNumberFormat="1" applyFont="1" applyFill="1" applyBorder="1" applyAlignment="1" applyProtection="1">
      <alignment horizontal="right"/>
      <protection locked="0"/>
    </xf>
    <xf numFmtId="49" fontId="30" fillId="8" borderId="32" xfId="3" applyNumberFormat="1" applyFont="1" applyFill="1" applyBorder="1" applyAlignment="1" applyProtection="1">
      <alignment horizontal="right"/>
      <protection locked="0"/>
    </xf>
    <xf numFmtId="49" fontId="30" fillId="0" borderId="25" xfId="1" applyNumberFormat="1" applyFont="1" applyFill="1" applyBorder="1" applyAlignment="1" applyProtection="1">
      <alignment horizontal="right" vertical="center"/>
      <protection locked="0"/>
    </xf>
    <xf numFmtId="49" fontId="30" fillId="0" borderId="1" xfId="1" applyNumberFormat="1" applyFont="1" applyFill="1" applyBorder="1" applyAlignment="1" applyProtection="1">
      <alignment horizontal="right" vertical="center"/>
      <protection locked="0"/>
    </xf>
    <xf numFmtId="49" fontId="30" fillId="0" borderId="32" xfId="1" applyNumberFormat="1" applyFont="1" applyFill="1" applyBorder="1" applyAlignment="1" applyProtection="1">
      <alignment horizontal="right" vertical="center"/>
      <protection locked="0"/>
    </xf>
    <xf numFmtId="164" fontId="32" fillId="0" borderId="25" xfId="2" applyNumberFormat="1" applyFont="1" applyBorder="1" applyAlignment="1" applyProtection="1">
      <alignment horizontal="right" wrapText="1"/>
      <protection locked="0"/>
    </xf>
    <xf numFmtId="164" fontId="32" fillId="0" borderId="1" xfId="2" applyNumberFormat="1" applyFont="1" applyBorder="1" applyAlignment="1" applyProtection="1">
      <alignment horizontal="right" wrapText="1"/>
      <protection locked="0"/>
    </xf>
    <xf numFmtId="164" fontId="32" fillId="0" borderId="32" xfId="2" applyNumberFormat="1" applyFont="1" applyBorder="1" applyAlignment="1" applyProtection="1">
      <alignment horizontal="right" wrapText="1"/>
      <protection locked="0"/>
    </xf>
    <xf numFmtId="164" fontId="32" fillId="0" borderId="35" xfId="2" applyNumberFormat="1" applyFont="1" applyBorder="1" applyAlignment="1" applyProtection="1">
      <alignment horizontal="right" wrapText="1"/>
      <protection locked="0"/>
    </xf>
    <xf numFmtId="49" fontId="32" fillId="0" borderId="25" xfId="2" applyNumberFormat="1" applyFont="1" applyBorder="1" applyAlignment="1" applyProtection="1">
      <alignment horizontal="right" wrapText="1"/>
      <protection locked="0"/>
    </xf>
    <xf numFmtId="49" fontId="32" fillId="0" borderId="1" xfId="2" applyNumberFormat="1" applyFont="1" applyBorder="1" applyAlignment="1" applyProtection="1">
      <alignment horizontal="right" wrapText="1"/>
      <protection locked="0"/>
    </xf>
    <xf numFmtId="49" fontId="32" fillId="0" borderId="32" xfId="2" applyNumberFormat="1" applyFont="1" applyBorder="1" applyAlignment="1" applyProtection="1">
      <alignment horizontal="right" wrapText="1"/>
      <protection locked="0"/>
    </xf>
    <xf numFmtId="165" fontId="30" fillId="0" borderId="25" xfId="0" applyNumberFormat="1" applyFont="1" applyBorder="1" applyAlignment="1" applyProtection="1">
      <alignment horizontal="right" vertical="center" wrapText="1"/>
      <protection locked="0"/>
    </xf>
    <xf numFmtId="165" fontId="30" fillId="0" borderId="1" xfId="0" applyNumberFormat="1" applyFont="1" applyBorder="1" applyAlignment="1" applyProtection="1">
      <alignment horizontal="right" vertical="center" wrapText="1"/>
      <protection locked="0"/>
    </xf>
    <xf numFmtId="165" fontId="30" fillId="0" borderId="32" xfId="0" applyNumberFormat="1" applyFont="1" applyBorder="1" applyAlignment="1" applyProtection="1">
      <alignment horizontal="right" vertical="center" wrapText="1"/>
      <protection locked="0"/>
    </xf>
    <xf numFmtId="165" fontId="30" fillId="0" borderId="35" xfId="0" applyNumberFormat="1" applyFont="1" applyBorder="1" applyAlignment="1" applyProtection="1">
      <alignment horizontal="right" vertical="center" wrapText="1"/>
      <protection locked="0"/>
    </xf>
    <xf numFmtId="165" fontId="30" fillId="0" borderId="25" xfId="0" applyNumberFormat="1" applyFont="1" applyBorder="1" applyAlignment="1" applyProtection="1">
      <alignment vertical="center"/>
      <protection locked="0"/>
    </xf>
    <xf numFmtId="165" fontId="30" fillId="0" borderId="1" xfId="0" applyNumberFormat="1" applyFont="1" applyBorder="1" applyAlignment="1" applyProtection="1">
      <alignment vertical="center"/>
      <protection locked="0"/>
    </xf>
    <xf numFmtId="165" fontId="30" fillId="0" borderId="32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164" fontId="12" fillId="8" borderId="1" xfId="2" applyNumberFormat="1" applyFont="1" applyFill="1" applyBorder="1" applyAlignment="1" applyProtection="1">
      <alignment horizontal="right" wrapText="1"/>
      <protection locked="0"/>
    </xf>
    <xf numFmtId="49" fontId="30" fillId="8" borderId="12" xfId="0" applyNumberFormat="1" applyFont="1" applyFill="1" applyBorder="1" applyAlignment="1" applyProtection="1">
      <alignment wrapText="1"/>
      <protection locked="0"/>
    </xf>
    <xf numFmtId="49" fontId="30" fillId="8" borderId="4" xfId="0" applyNumberFormat="1" applyFont="1" applyFill="1" applyBorder="1" applyAlignment="1" applyProtection="1">
      <alignment wrapText="1"/>
      <protection locked="0"/>
    </xf>
    <xf numFmtId="49" fontId="30" fillId="8" borderId="5" xfId="0" applyNumberFormat="1" applyFont="1" applyFill="1" applyBorder="1" applyAlignment="1" applyProtection="1">
      <alignment wrapText="1"/>
      <protection locked="0"/>
    </xf>
    <xf numFmtId="0" fontId="30" fillId="8" borderId="4" xfId="0" applyFont="1" applyFill="1" applyBorder="1" applyAlignment="1" applyProtection="1">
      <alignment wrapText="1"/>
      <protection locked="0"/>
    </xf>
    <xf numFmtId="0" fontId="30" fillId="8" borderId="5" xfId="0" applyFont="1" applyFill="1" applyBorder="1" applyAlignment="1" applyProtection="1">
      <alignment wrapText="1"/>
      <protection locked="0"/>
    </xf>
    <xf numFmtId="165" fontId="30" fillId="8" borderId="1" xfId="2" applyNumberFormat="1" applyFont="1" applyFill="1" applyBorder="1" applyAlignment="1" applyProtection="1">
      <alignment horizontal="right" wrapText="1"/>
      <protection locked="0"/>
    </xf>
    <xf numFmtId="0" fontId="30" fillId="8" borderId="1" xfId="0" applyFont="1" applyFill="1" applyBorder="1" applyAlignment="1" applyProtection="1">
      <alignment horizontal="right"/>
      <protection locked="0"/>
    </xf>
    <xf numFmtId="164" fontId="30" fillId="8" borderId="1" xfId="2" applyNumberFormat="1" applyFont="1" applyFill="1" applyBorder="1" applyAlignment="1" applyProtection="1">
      <alignment horizontal="right" wrapText="1"/>
      <protection locked="0"/>
    </xf>
    <xf numFmtId="0" fontId="30" fillId="6" borderId="26" xfId="0" applyFont="1" applyFill="1" applyBorder="1" applyAlignment="1">
      <alignment vertical="center"/>
    </xf>
    <xf numFmtId="0" fontId="30" fillId="0" borderId="1" xfId="0" applyFont="1" applyBorder="1" applyAlignment="1" applyProtection="1">
      <alignment horizontal="right"/>
      <protection locked="0"/>
    </xf>
    <xf numFmtId="0" fontId="30" fillId="6" borderId="27" xfId="0" applyFont="1" applyFill="1" applyBorder="1" applyAlignment="1">
      <alignment vertical="center"/>
    </xf>
    <xf numFmtId="0" fontId="30" fillId="0" borderId="32" xfId="0" applyFont="1" applyBorder="1" applyAlignment="1" applyProtection="1">
      <alignment horizontal="right"/>
      <protection locked="0"/>
    </xf>
    <xf numFmtId="0" fontId="30" fillId="6" borderId="33" xfId="0" applyFont="1" applyFill="1" applyBorder="1" applyAlignment="1">
      <alignment vertical="center"/>
    </xf>
    <xf numFmtId="0" fontId="11" fillId="15" borderId="49" xfId="0" applyFont="1" applyFill="1" applyBorder="1" applyAlignment="1">
      <alignment horizontal="center" vertical="top" wrapText="1"/>
    </xf>
    <xf numFmtId="0" fontId="12" fillId="12" borderId="41" xfId="0" applyFont="1" applyFill="1" applyBorder="1" applyAlignment="1">
      <alignment horizontal="right" vertical="center"/>
    </xf>
    <xf numFmtId="0" fontId="12" fillId="12" borderId="47" xfId="0" applyFont="1" applyFill="1" applyBorder="1" applyAlignment="1">
      <alignment horizontal="right" vertical="center"/>
    </xf>
    <xf numFmtId="49" fontId="12" fillId="8" borderId="25" xfId="1" applyNumberFormat="1" applyFont="1" applyFill="1" applyBorder="1" applyAlignment="1" applyProtection="1">
      <alignment horizontal="right" vertical="center"/>
      <protection locked="0"/>
    </xf>
    <xf numFmtId="49" fontId="12" fillId="8" borderId="1" xfId="1" applyNumberFormat="1" applyFont="1" applyFill="1" applyBorder="1" applyAlignment="1" applyProtection="1">
      <alignment horizontal="right" vertical="center"/>
      <protection locked="0"/>
    </xf>
    <xf numFmtId="164" fontId="28" fillId="0" borderId="35" xfId="2" applyNumberFormat="1" applyFont="1" applyBorder="1" applyAlignment="1" applyProtection="1">
      <alignment horizontal="right" vertical="center" wrapText="1"/>
      <protection locked="0"/>
    </xf>
    <xf numFmtId="164" fontId="28" fillId="0" borderId="25" xfId="2" applyNumberFormat="1" applyFont="1" applyBorder="1" applyAlignment="1" applyProtection="1">
      <alignment horizontal="right" vertical="center" wrapText="1"/>
      <protection locked="0"/>
    </xf>
    <xf numFmtId="164" fontId="28" fillId="0" borderId="1" xfId="2" applyNumberFormat="1" applyFont="1" applyBorder="1" applyAlignment="1" applyProtection="1">
      <alignment horizontal="right" vertical="center" wrapText="1"/>
      <protection locked="0"/>
    </xf>
    <xf numFmtId="164" fontId="28" fillId="0" borderId="32" xfId="2" applyNumberFormat="1" applyFont="1" applyBorder="1" applyAlignment="1" applyProtection="1">
      <alignment horizontal="right" vertical="center" wrapText="1"/>
      <protection locked="0"/>
    </xf>
    <xf numFmtId="164" fontId="28" fillId="0" borderId="2" xfId="2" applyNumberFormat="1" applyFont="1" applyBorder="1" applyAlignment="1" applyProtection="1">
      <alignment horizontal="right" vertical="center" wrapText="1"/>
      <protection locked="0"/>
    </xf>
    <xf numFmtId="49" fontId="28" fillId="0" borderId="2" xfId="2" applyNumberFormat="1" applyFont="1" applyBorder="1" applyAlignment="1" applyProtection="1">
      <alignment horizontal="right" vertical="center" wrapText="1"/>
      <protection locked="0"/>
    </xf>
    <xf numFmtId="49" fontId="28" fillId="0" borderId="32" xfId="2" applyNumberFormat="1" applyFont="1" applyBorder="1" applyAlignment="1" applyProtection="1">
      <alignment horizontal="right" vertical="center" wrapText="1"/>
      <protection locked="0"/>
    </xf>
    <xf numFmtId="49" fontId="28" fillId="0" borderId="7" xfId="2" applyNumberFormat="1" applyFont="1" applyBorder="1" applyAlignment="1" applyProtection="1">
      <alignment horizontal="right" vertical="center" wrapText="1"/>
      <protection locked="0"/>
    </xf>
    <xf numFmtId="165" fontId="12" fillId="0" borderId="25" xfId="0" applyNumberFormat="1" applyFont="1" applyBorder="1" applyAlignment="1" applyProtection="1">
      <alignment vertical="center"/>
      <protection locked="0"/>
    </xf>
    <xf numFmtId="165" fontId="12" fillId="0" borderId="32" xfId="0" applyNumberFormat="1" applyFont="1" applyBorder="1" applyAlignment="1" applyProtection="1">
      <alignment vertical="center"/>
      <protection locked="0"/>
    </xf>
    <xf numFmtId="49" fontId="12" fillId="8" borderId="4" xfId="0" applyNumberFormat="1" applyFont="1" applyFill="1" applyBorder="1" applyAlignment="1" applyProtection="1">
      <alignment vertical="center" wrapText="1"/>
      <protection locked="0"/>
    </xf>
    <xf numFmtId="49" fontId="12" fillId="8" borderId="5" xfId="0" applyNumberFormat="1" applyFont="1" applyFill="1" applyBorder="1" applyAlignment="1" applyProtection="1">
      <alignment vertical="center" wrapText="1"/>
      <protection locked="0"/>
    </xf>
    <xf numFmtId="0" fontId="11" fillId="6" borderId="2" xfId="0" applyFont="1" applyFill="1" applyBorder="1" applyAlignment="1">
      <alignment horizontal="center" vertical="top"/>
    </xf>
    <xf numFmtId="164" fontId="11" fillId="6" borderId="2" xfId="2" applyNumberFormat="1" applyFont="1" applyFill="1" applyBorder="1" applyAlignment="1">
      <alignment horizontal="center" vertical="top" wrapText="1"/>
    </xf>
    <xf numFmtId="0" fontId="11" fillId="11" borderId="2" xfId="0" applyFont="1" applyFill="1" applyBorder="1" applyAlignment="1">
      <alignment horizontal="center" vertical="top"/>
    </xf>
    <xf numFmtId="0" fontId="12" fillId="8" borderId="22" xfId="0" applyFont="1" applyFill="1" applyBorder="1" applyAlignment="1" applyProtection="1">
      <alignment horizontal="left"/>
      <protection locked="0"/>
    </xf>
    <xf numFmtId="0" fontId="12" fillId="0" borderId="23" xfId="0" applyFont="1" applyBorder="1" applyAlignment="1" applyProtection="1">
      <alignment horizontal="left"/>
      <protection locked="0"/>
    </xf>
    <xf numFmtId="0" fontId="12" fillId="0" borderId="24" xfId="0" applyFont="1" applyBorder="1" applyAlignment="1" applyProtection="1">
      <alignment horizontal="left"/>
      <protection locked="0"/>
    </xf>
    <xf numFmtId="0" fontId="12" fillId="8" borderId="12" xfId="0" applyFont="1" applyFill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left"/>
      <protection locked="0"/>
    </xf>
    <xf numFmtId="0" fontId="12" fillId="8" borderId="12" xfId="3" applyFont="1" applyFill="1" applyBorder="1" applyAlignment="1" applyProtection="1">
      <alignment horizontal="left"/>
      <protection locked="0"/>
    </xf>
    <xf numFmtId="0" fontId="12" fillId="8" borderId="29" xfId="3" applyFont="1" applyFill="1" applyBorder="1" applyAlignment="1" applyProtection="1">
      <alignment horizontal="left"/>
      <protection locked="0"/>
    </xf>
    <xf numFmtId="0" fontId="12" fillId="0" borderId="30" xfId="0" applyFont="1" applyBorder="1" applyAlignment="1" applyProtection="1">
      <alignment horizontal="left"/>
      <protection locked="0"/>
    </xf>
    <xf numFmtId="0" fontId="12" fillId="0" borderId="31" xfId="0" applyFont="1" applyBorder="1" applyAlignment="1" applyProtection="1">
      <alignment horizontal="left"/>
      <protection locked="0"/>
    </xf>
    <xf numFmtId="0" fontId="12" fillId="0" borderId="22" xfId="0" applyFont="1" applyBorder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left"/>
      <protection locked="0"/>
    </xf>
    <xf numFmtId="0" fontId="12" fillId="0" borderId="29" xfId="0" applyFont="1" applyBorder="1" applyAlignment="1" applyProtection="1">
      <alignment horizontal="left"/>
      <protection locked="0"/>
    </xf>
    <xf numFmtId="49" fontId="27" fillId="0" borderId="40" xfId="0" applyNumberFormat="1" applyFont="1" applyBorder="1" applyAlignment="1" applyProtection="1">
      <alignment horizontal="left"/>
      <protection locked="0"/>
    </xf>
    <xf numFmtId="0" fontId="12" fillId="0" borderId="37" xfId="0" applyFont="1" applyBorder="1" applyAlignment="1" applyProtection="1">
      <alignment horizontal="left"/>
      <protection locked="0"/>
    </xf>
    <xf numFmtId="0" fontId="12" fillId="0" borderId="36" xfId="0" applyFont="1" applyBorder="1" applyAlignment="1" applyProtection="1">
      <alignment horizontal="left"/>
      <protection locked="0"/>
    </xf>
    <xf numFmtId="49" fontId="27" fillId="0" borderId="22" xfId="0" applyNumberFormat="1" applyFont="1" applyBorder="1" applyAlignment="1" applyProtection="1">
      <alignment horizontal="left"/>
      <protection locked="0"/>
    </xf>
    <xf numFmtId="49" fontId="27" fillId="0" borderId="12" xfId="0" applyNumberFormat="1" applyFont="1" applyBorder="1" applyAlignment="1" applyProtection="1">
      <alignment horizontal="left"/>
      <protection locked="0"/>
    </xf>
    <xf numFmtId="49" fontId="27" fillId="0" borderId="29" xfId="0" applyNumberFormat="1" applyFont="1" applyBorder="1" applyAlignment="1" applyProtection="1">
      <alignment horizontal="left"/>
      <protection locked="0"/>
    </xf>
    <xf numFmtId="49" fontId="27" fillId="0" borderId="13" xfId="0" applyNumberFormat="1" applyFont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0" fontId="12" fillId="0" borderId="14" xfId="0" applyFont="1" applyBorder="1" applyAlignment="1" applyProtection="1">
      <alignment horizontal="left"/>
      <protection locked="0"/>
    </xf>
    <xf numFmtId="49" fontId="27" fillId="8" borderId="25" xfId="0" applyNumberFormat="1" applyFont="1" applyFill="1" applyBorder="1" applyAlignment="1" applyProtection="1">
      <protection locked="0"/>
    </xf>
    <xf numFmtId="0" fontId="12" fillId="0" borderId="25" xfId="0" applyFont="1" applyBorder="1" applyAlignment="1" applyProtection="1">
      <protection locked="0"/>
    </xf>
    <xf numFmtId="49" fontId="27" fillId="8" borderId="1" xfId="0" applyNumberFormat="1" applyFont="1" applyFill="1" applyBorder="1" applyAlignment="1" applyProtection="1">
      <protection locked="0"/>
    </xf>
    <xf numFmtId="0" fontId="12" fillId="0" borderId="1" xfId="0" applyFont="1" applyBorder="1" applyAlignment="1" applyProtection="1">
      <protection locked="0"/>
    </xf>
    <xf numFmtId="49" fontId="27" fillId="8" borderId="1" xfId="0" applyNumberFormat="1" applyFont="1" applyFill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49" fontId="27" fillId="0" borderId="1" xfId="0" applyNumberFormat="1" applyFont="1" applyBorder="1" applyAlignment="1" applyProtection="1">
      <alignment horizontal="left"/>
      <protection locked="0"/>
    </xf>
    <xf numFmtId="49" fontId="27" fillId="0" borderId="2" xfId="0" applyNumberFormat="1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/>
      <protection locked="0"/>
    </xf>
    <xf numFmtId="49" fontId="27" fillId="0" borderId="25" xfId="0" applyNumberFormat="1" applyFont="1" applyBorder="1" applyAlignment="1" applyProtection="1">
      <alignment horizontal="left"/>
      <protection locked="0"/>
    </xf>
    <xf numFmtId="0" fontId="12" fillId="0" borderId="25" xfId="0" applyFont="1" applyBorder="1" applyAlignment="1" applyProtection="1">
      <alignment horizontal="left"/>
      <protection locked="0"/>
    </xf>
    <xf numFmtId="49" fontId="27" fillId="0" borderId="32" xfId="0" applyNumberFormat="1" applyFont="1" applyBorder="1" applyAlignment="1" applyProtection="1">
      <alignment horizontal="left"/>
      <protection locked="0"/>
    </xf>
    <xf numFmtId="0" fontId="12" fillId="0" borderId="32" xfId="0" applyFont="1" applyBorder="1" applyAlignment="1" applyProtection="1">
      <alignment horizontal="left"/>
      <protection locked="0"/>
    </xf>
    <xf numFmtId="49" fontId="27" fillId="0" borderId="25" xfId="0" applyNumberFormat="1" applyFont="1" applyBorder="1" applyAlignment="1" applyProtection="1">
      <protection locked="0"/>
    </xf>
    <xf numFmtId="49" fontId="27" fillId="0" borderId="1" xfId="0" applyNumberFormat="1" applyFont="1" applyBorder="1" applyAlignment="1" applyProtection="1">
      <protection locked="0"/>
    </xf>
    <xf numFmtId="49" fontId="27" fillId="0" borderId="1" xfId="0" applyNumberFormat="1" applyFont="1" applyBorder="1" applyAlignment="1" applyProtection="1">
      <protection locked="0"/>
    </xf>
    <xf numFmtId="0" fontId="12" fillId="0" borderId="1" xfId="0" applyFont="1" applyBorder="1" applyAlignment="1" applyProtection="1">
      <protection locked="0"/>
    </xf>
    <xf numFmtId="49" fontId="27" fillId="0" borderId="1" xfId="0" applyNumberFormat="1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49" fontId="27" fillId="0" borderId="32" xfId="0" applyNumberFormat="1" applyFont="1" applyBorder="1" applyAlignment="1" applyProtection="1">
      <alignment horizontal="left"/>
      <protection locked="0"/>
    </xf>
    <xf numFmtId="0" fontId="12" fillId="0" borderId="32" xfId="0" applyFont="1" applyBorder="1" applyAlignment="1" applyProtection="1">
      <alignment horizontal="left"/>
      <protection locked="0"/>
    </xf>
    <xf numFmtId="0" fontId="12" fillId="0" borderId="32" xfId="0" applyFont="1" applyBorder="1" applyAlignment="1" applyProtection="1">
      <alignment horizontal="left" wrapText="1"/>
      <protection locked="0"/>
    </xf>
    <xf numFmtId="164" fontId="28" fillId="8" borderId="25" xfId="2" applyNumberFormat="1" applyFont="1" applyFill="1" applyBorder="1" applyAlignment="1" applyProtection="1">
      <alignment horizontal="right" vertical="center" wrapText="1"/>
      <protection locked="0"/>
    </xf>
    <xf numFmtId="164" fontId="28" fillId="8" borderId="1" xfId="2" applyNumberFormat="1" applyFont="1" applyFill="1" applyBorder="1" applyAlignment="1" applyProtection="1">
      <alignment horizontal="right" vertical="center" wrapText="1"/>
      <protection locked="0"/>
    </xf>
    <xf numFmtId="164" fontId="28" fillId="8" borderId="32" xfId="2" applyNumberFormat="1" applyFont="1" applyFill="1" applyBorder="1" applyAlignment="1" applyProtection="1">
      <alignment horizontal="right" vertical="center" wrapText="1"/>
      <protection locked="0"/>
    </xf>
    <xf numFmtId="165" fontId="12" fillId="8" borderId="25" xfId="0" applyNumberFormat="1" applyFont="1" applyFill="1" applyBorder="1" applyAlignment="1" applyProtection="1">
      <alignment horizontal="right" vertical="center" wrapText="1"/>
      <protection locked="0"/>
    </xf>
    <xf numFmtId="165" fontId="12" fillId="8" borderId="1" xfId="0" applyNumberFormat="1" applyFont="1" applyFill="1" applyBorder="1" applyAlignment="1" applyProtection="1">
      <alignment horizontal="right" vertical="center" wrapText="1"/>
      <protection locked="0"/>
    </xf>
    <xf numFmtId="165" fontId="12" fillId="8" borderId="32" xfId="2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0" applyFont="1" applyAlignment="1">
      <alignment wrapText="1"/>
    </xf>
    <xf numFmtId="0" fontId="12" fillId="6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1" fillId="6" borderId="2" xfId="2" applyNumberFormat="1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left" vertical="top" indent="1"/>
    </xf>
    <xf numFmtId="0" fontId="30" fillId="11" borderId="1" xfId="0" applyFont="1" applyFill="1" applyBorder="1" applyProtection="1">
      <protection locked="0"/>
    </xf>
    <xf numFmtId="0" fontId="30" fillId="12" borderId="1" xfId="0" applyFont="1" applyFill="1" applyBorder="1" applyProtection="1">
      <protection locked="0"/>
    </xf>
    <xf numFmtId="0" fontId="30" fillId="8" borderId="25" xfId="0" applyFont="1" applyFill="1" applyBorder="1" applyProtection="1">
      <protection locked="0"/>
    </xf>
    <xf numFmtId="0" fontId="30" fillId="0" borderId="25" xfId="0" applyFont="1" applyBorder="1" applyProtection="1">
      <protection locked="0"/>
    </xf>
    <xf numFmtId="165" fontId="30" fillId="0" borderId="25" xfId="2" applyNumberFormat="1" applyFont="1" applyBorder="1" applyAlignment="1" applyProtection="1">
      <alignment horizontal="right" wrapText="1"/>
      <protection locked="0"/>
    </xf>
    <xf numFmtId="0" fontId="30" fillId="0" borderId="25" xfId="0" applyFont="1" applyBorder="1"/>
    <xf numFmtId="0" fontId="30" fillId="11" borderId="43" xfId="0" applyFont="1" applyFill="1" applyBorder="1"/>
    <xf numFmtId="0" fontId="30" fillId="12" borderId="26" xfId="0" applyFont="1" applyFill="1" applyBorder="1"/>
    <xf numFmtId="0" fontId="30" fillId="8" borderId="1" xfId="0" applyFont="1" applyFill="1" applyBorder="1" applyProtection="1">
      <protection locked="0"/>
    </xf>
    <xf numFmtId="0" fontId="30" fillId="0" borderId="1" xfId="0" applyFont="1" applyBorder="1" applyProtection="1">
      <protection locked="0"/>
    </xf>
    <xf numFmtId="165" fontId="30" fillId="0" borderId="1" xfId="2" applyNumberFormat="1" applyFont="1" applyBorder="1" applyAlignment="1" applyProtection="1">
      <alignment horizontal="right" wrapText="1"/>
      <protection locked="0"/>
    </xf>
    <xf numFmtId="0" fontId="30" fillId="0" borderId="1" xfId="0" applyFont="1" applyBorder="1"/>
    <xf numFmtId="0" fontId="30" fillId="11" borderId="1" xfId="0" applyFont="1" applyFill="1" applyBorder="1"/>
    <xf numFmtId="0" fontId="30" fillId="12" borderId="27" xfId="0" applyFont="1" applyFill="1" applyBorder="1"/>
    <xf numFmtId="0" fontId="30" fillId="8" borderId="1" xfId="3" applyFont="1" applyFill="1" applyBorder="1" applyAlignment="1" applyProtection="1">
      <protection locked="0"/>
    </xf>
    <xf numFmtId="0" fontId="30" fillId="8" borderId="32" xfId="3" applyFont="1" applyFill="1" applyBorder="1" applyAlignment="1" applyProtection="1">
      <protection locked="0"/>
    </xf>
    <xf numFmtId="0" fontId="30" fillId="0" borderId="32" xfId="0" applyFont="1" applyBorder="1" applyProtection="1">
      <protection locked="0"/>
    </xf>
    <xf numFmtId="165" fontId="30" fillId="0" borderId="32" xfId="2" applyNumberFormat="1" applyFont="1" applyBorder="1" applyAlignment="1" applyProtection="1">
      <alignment horizontal="right" wrapText="1"/>
      <protection locked="0"/>
    </xf>
    <xf numFmtId="0" fontId="30" fillId="0" borderId="32" xfId="0" applyFont="1" applyBorder="1"/>
    <xf numFmtId="0" fontId="30" fillId="11" borderId="7" xfId="0" applyFont="1" applyFill="1" applyBorder="1"/>
    <xf numFmtId="0" fontId="30" fillId="12" borderId="33" xfId="0" applyFont="1" applyFill="1" applyBorder="1"/>
    <xf numFmtId="49" fontId="30" fillId="0" borderId="25" xfId="1" applyNumberFormat="1" applyFont="1" applyFill="1" applyBorder="1" applyAlignment="1" applyProtection="1">
      <alignment horizontal="right"/>
      <protection locked="0"/>
    </xf>
    <xf numFmtId="0" fontId="30" fillId="0" borderId="25" xfId="0" applyFont="1" applyBorder="1" applyAlignment="1" applyProtection="1">
      <alignment horizontal="right"/>
      <protection locked="0"/>
    </xf>
    <xf numFmtId="49" fontId="30" fillId="0" borderId="1" xfId="1" applyNumberFormat="1" applyFont="1" applyFill="1" applyBorder="1" applyAlignment="1" applyProtection="1">
      <alignment horizontal="right"/>
      <protection locked="0"/>
    </xf>
    <xf numFmtId="49" fontId="30" fillId="0" borderId="32" xfId="1" applyNumberFormat="1" applyFont="1" applyFill="1" applyBorder="1" applyAlignment="1" applyProtection="1">
      <alignment horizontal="right"/>
      <protection locked="0"/>
    </xf>
    <xf numFmtId="49" fontId="31" fillId="0" borderId="25" xfId="0" applyNumberFormat="1" applyFont="1" applyBorder="1" applyProtection="1">
      <protection locked="0"/>
    </xf>
    <xf numFmtId="165" fontId="30" fillId="0" borderId="25" xfId="0" applyNumberFormat="1" applyFont="1" applyBorder="1" applyAlignment="1" applyProtection="1">
      <alignment horizontal="right" wrapText="1"/>
      <protection locked="0"/>
    </xf>
    <xf numFmtId="49" fontId="31" fillId="0" borderId="1" xfId="0" applyNumberFormat="1" applyFont="1" applyBorder="1" applyProtection="1">
      <protection locked="0"/>
    </xf>
    <xf numFmtId="165" fontId="30" fillId="0" borderId="1" xfId="0" applyNumberFormat="1" applyFont="1" applyBorder="1" applyAlignment="1" applyProtection="1">
      <alignment horizontal="right" wrapText="1"/>
      <protection locked="0"/>
    </xf>
    <xf numFmtId="49" fontId="31" fillId="0" borderId="32" xfId="0" applyNumberFormat="1" applyFont="1" applyBorder="1" applyProtection="1">
      <protection locked="0"/>
    </xf>
    <xf numFmtId="165" fontId="30" fillId="0" borderId="32" xfId="0" applyNumberFormat="1" applyFont="1" applyBorder="1" applyAlignment="1" applyProtection="1">
      <alignment horizontal="right" wrapText="1"/>
      <protection locked="0"/>
    </xf>
    <xf numFmtId="49" fontId="31" fillId="0" borderId="35" xfId="0" applyNumberFormat="1" applyFont="1" applyBorder="1" applyProtection="1">
      <protection locked="0"/>
    </xf>
    <xf numFmtId="0" fontId="30" fillId="0" borderId="35" xfId="0" applyFont="1" applyBorder="1" applyProtection="1">
      <protection locked="0"/>
    </xf>
    <xf numFmtId="165" fontId="30" fillId="0" borderId="35" xfId="0" applyNumberFormat="1" applyFont="1" applyBorder="1" applyAlignment="1" applyProtection="1">
      <alignment horizontal="right" wrapText="1"/>
      <protection locked="0"/>
    </xf>
    <xf numFmtId="0" fontId="30" fillId="0" borderId="35" xfId="0" applyFont="1" applyBorder="1"/>
    <xf numFmtId="0" fontId="30" fillId="11" borderId="25" xfId="0" applyFont="1" applyFill="1" applyBorder="1"/>
    <xf numFmtId="0" fontId="30" fillId="12" borderId="38" xfId="0" applyFont="1" applyFill="1" applyBorder="1"/>
    <xf numFmtId="165" fontId="30" fillId="0" borderId="25" xfId="0" applyNumberFormat="1" applyFont="1" applyBorder="1" applyProtection="1">
      <protection locked="0"/>
    </xf>
    <xf numFmtId="165" fontId="30" fillId="0" borderId="1" xfId="0" applyNumberFormat="1" applyFont="1" applyBorder="1" applyProtection="1">
      <protection locked="0"/>
    </xf>
    <xf numFmtId="49" fontId="31" fillId="0" borderId="13" xfId="0" applyNumberFormat="1" applyFont="1" applyBorder="1" applyProtection="1">
      <protection locked="0"/>
    </xf>
    <xf numFmtId="0" fontId="30" fillId="0" borderId="20" xfId="0" applyFont="1" applyBorder="1" applyProtection="1">
      <protection locked="0"/>
    </xf>
    <xf numFmtId="0" fontId="30" fillId="0" borderId="14" xfId="0" applyFont="1" applyBorder="1" applyProtection="1">
      <protection locked="0"/>
    </xf>
    <xf numFmtId="164" fontId="32" fillId="0" borderId="2" xfId="2" applyNumberFormat="1" applyFont="1" applyBorder="1" applyAlignment="1" applyProtection="1">
      <alignment horizontal="right" wrapText="1"/>
      <protection locked="0"/>
    </xf>
    <xf numFmtId="165" fontId="30" fillId="0" borderId="2" xfId="0" applyNumberFormat="1" applyFont="1" applyBorder="1" applyProtection="1">
      <protection locked="0"/>
    </xf>
    <xf numFmtId="0" fontId="30" fillId="0" borderId="2" xfId="0" applyFont="1" applyBorder="1"/>
    <xf numFmtId="0" fontId="30" fillId="0" borderId="2" xfId="0" applyFont="1" applyBorder="1" applyProtection="1">
      <protection locked="0"/>
    </xf>
    <xf numFmtId="0" fontId="30" fillId="11" borderId="6" xfId="0" applyFont="1" applyFill="1" applyBorder="1"/>
    <xf numFmtId="0" fontId="30" fillId="12" borderId="41" xfId="0" applyFont="1" applyFill="1" applyBorder="1"/>
    <xf numFmtId="49" fontId="31" fillId="8" borderId="25" xfId="0" applyNumberFormat="1" applyFont="1" applyFill="1" applyBorder="1" applyProtection="1">
      <protection locked="0"/>
    </xf>
    <xf numFmtId="49" fontId="32" fillId="0" borderId="25" xfId="2" applyNumberFormat="1" applyFont="1" applyBorder="1" applyAlignment="1" applyProtection="1">
      <alignment horizontal="right" vertical="center" wrapText="1"/>
      <protection locked="0"/>
    </xf>
    <xf numFmtId="49" fontId="31" fillId="8" borderId="1" xfId="0" applyNumberFormat="1" applyFont="1" applyFill="1" applyBorder="1" applyProtection="1">
      <protection locked="0"/>
    </xf>
    <xf numFmtId="49" fontId="32" fillId="0" borderId="1" xfId="2" applyNumberFormat="1" applyFont="1" applyBorder="1" applyAlignment="1" applyProtection="1">
      <alignment horizontal="right" vertical="center" wrapText="1"/>
      <protection locked="0"/>
    </xf>
    <xf numFmtId="1" fontId="32" fillId="0" borderId="1" xfId="2" applyNumberFormat="1" applyFont="1" applyBorder="1" applyAlignment="1" applyProtection="1">
      <alignment horizontal="right" vertical="center" wrapText="1"/>
      <protection locked="0"/>
    </xf>
    <xf numFmtId="49" fontId="31" fillId="8" borderId="1" xfId="0" applyNumberFormat="1" applyFont="1" applyFill="1" applyBorder="1" applyProtection="1">
      <protection locked="0"/>
    </xf>
    <xf numFmtId="0" fontId="30" fillId="11" borderId="45" xfId="0" applyFont="1" applyFill="1" applyBorder="1"/>
    <xf numFmtId="49" fontId="32" fillId="0" borderId="2" xfId="2" applyNumberFormat="1" applyFont="1" applyBorder="1" applyAlignment="1" applyProtection="1">
      <alignment horizontal="right" wrapText="1"/>
      <protection locked="0"/>
    </xf>
    <xf numFmtId="165" fontId="30" fillId="0" borderId="2" xfId="0" applyNumberFormat="1" applyFont="1" applyBorder="1" applyAlignment="1" applyProtection="1">
      <alignment horizontal="right" wrapText="1"/>
      <protection locked="0"/>
    </xf>
    <xf numFmtId="1" fontId="32" fillId="0" borderId="25" xfId="2" applyNumberFormat="1" applyFont="1" applyBorder="1" applyAlignment="1" applyProtection="1">
      <alignment horizontal="right" vertical="center" wrapText="1"/>
      <protection locked="0"/>
    </xf>
    <xf numFmtId="0" fontId="30" fillId="11" borderId="32" xfId="0" applyFont="1" applyFill="1" applyBorder="1"/>
    <xf numFmtId="0" fontId="47" fillId="8" borderId="1" xfId="0" applyFont="1" applyFill="1" applyBorder="1" applyAlignment="1" applyProtection="1">
      <alignment horizontal="left"/>
      <protection locked="0"/>
    </xf>
    <xf numFmtId="0" fontId="30" fillId="6" borderId="26" xfId="0" applyFont="1" applyFill="1" applyBorder="1"/>
    <xf numFmtId="0" fontId="30" fillId="0" borderId="19" xfId="0" applyFont="1" applyBorder="1" applyProtection="1">
      <protection locked="0"/>
    </xf>
    <xf numFmtId="0" fontId="30" fillId="6" borderId="27" xfId="0" applyFont="1" applyFill="1" applyBorder="1"/>
    <xf numFmtId="0" fontId="30" fillId="0" borderId="28" xfId="0" applyFont="1" applyBorder="1" applyProtection="1">
      <protection locked="0"/>
    </xf>
    <xf numFmtId="0" fontId="30" fillId="6" borderId="33" xfId="0" applyFont="1" applyFill="1" applyBorder="1"/>
    <xf numFmtId="165" fontId="30" fillId="0" borderId="32" xfId="0" applyNumberFormat="1" applyFont="1" applyBorder="1" applyProtection="1">
      <protection locked="0"/>
    </xf>
    <xf numFmtId="0" fontId="11" fillId="8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8" fillId="2" borderId="0" xfId="0" applyFont="1" applyFill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4" fontId="7" fillId="2" borderId="0" xfId="0" applyNumberFormat="1" applyFont="1" applyFill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22" fillId="0" borderId="19" xfId="0" applyFont="1" applyBorder="1" applyAlignment="1" applyProtection="1">
      <alignment horizontal="left" vertical="center" wrapText="1"/>
      <protection locked="0"/>
    </xf>
    <xf numFmtId="0" fontId="19" fillId="0" borderId="28" xfId="0" applyFont="1" applyBorder="1" applyAlignment="1" applyProtection="1">
      <alignment horizontal="left" vertical="center"/>
      <protection locked="0"/>
    </xf>
    <xf numFmtId="0" fontId="15" fillId="8" borderId="1" xfId="0" applyFont="1" applyFill="1" applyBorder="1" applyAlignment="1" applyProtection="1">
      <alignment horizontal="left" indent="1"/>
      <protection locked="0"/>
    </xf>
  </cellXfs>
  <cellStyles count="5">
    <cellStyle name="Gut" xfId="3" builtinId="26"/>
    <cellStyle name="Link" xfId="4" builtinId="8"/>
    <cellStyle name="Neutral" xfId="1" builtinId="28"/>
    <cellStyle name="Standard" xfId="0" builtinId="0"/>
    <cellStyle name="Standard_Tabelle1" xfId="2" xr:uid="{3666A521-EE3F-4160-8AED-6DEE93656D3B}"/>
  </cellStyles>
  <dxfs count="50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  <color theme="1"/>
      </font>
      <fill>
        <patternFill>
          <bgColor rgb="FFFF0000"/>
        </patternFill>
      </fill>
    </dxf>
    <dxf>
      <font>
        <strike/>
        <color theme="1"/>
      </font>
      <fill>
        <patternFill>
          <bgColor rgb="FFFF0000"/>
        </patternFill>
      </fill>
    </dxf>
    <dxf>
      <font>
        <strike/>
        <color theme="1"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  <color theme="1"/>
      </font>
      <fill>
        <patternFill>
          <bgColor rgb="FFFF0000"/>
        </patternFill>
      </fill>
    </dxf>
    <dxf>
      <font>
        <strike/>
        <color theme="1"/>
      </font>
      <fill>
        <patternFill>
          <bgColor rgb="FFFF0000"/>
        </patternFill>
      </fill>
    </dxf>
    <dxf>
      <font>
        <strike/>
        <color theme="1"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  <color theme="1"/>
      </font>
      <fill>
        <patternFill>
          <bgColor rgb="FFFF0000"/>
        </patternFill>
      </fill>
    </dxf>
    <dxf>
      <font>
        <strike/>
        <color theme="1"/>
      </font>
      <fill>
        <patternFill>
          <bgColor rgb="FFFF0000"/>
        </patternFill>
      </fill>
    </dxf>
    <dxf>
      <font>
        <strike/>
        <color theme="1"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A800"/>
      <color rgb="FF0099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1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10.jpeg"/><Relationship Id="rId16" Type="http://schemas.openxmlformats.org/officeDocument/2006/relationships/image" Target="../media/image23.png"/><Relationship Id="rId1" Type="http://schemas.openxmlformats.org/officeDocument/2006/relationships/image" Target="../media/image9.jpeg"/><Relationship Id="rId6" Type="http://schemas.openxmlformats.org/officeDocument/2006/relationships/image" Target="../media/image3.png"/><Relationship Id="rId11" Type="http://schemas.openxmlformats.org/officeDocument/2006/relationships/image" Target="../media/image18.png"/><Relationship Id="rId5" Type="http://schemas.openxmlformats.org/officeDocument/2006/relationships/image" Target="../media/image13.jpeg"/><Relationship Id="rId15" Type="http://schemas.openxmlformats.org/officeDocument/2006/relationships/image" Target="../media/image22.png"/><Relationship Id="rId10" Type="http://schemas.openxmlformats.org/officeDocument/2006/relationships/image" Target="../media/image17.png"/><Relationship Id="rId4" Type="http://schemas.openxmlformats.org/officeDocument/2006/relationships/image" Target="../media/image12.jpe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1.png"/><Relationship Id="rId3" Type="http://schemas.openxmlformats.org/officeDocument/2006/relationships/image" Target="../media/image13.jpeg"/><Relationship Id="rId7" Type="http://schemas.openxmlformats.org/officeDocument/2006/relationships/image" Target="../media/image19.png"/><Relationship Id="rId12" Type="http://schemas.openxmlformats.org/officeDocument/2006/relationships/image" Target="../media/image26.png"/><Relationship Id="rId2" Type="http://schemas.openxmlformats.org/officeDocument/2006/relationships/image" Target="../media/image12.jpe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5.png"/><Relationship Id="rId5" Type="http://schemas.openxmlformats.org/officeDocument/2006/relationships/image" Target="../media/image15.png"/><Relationship Id="rId15" Type="http://schemas.openxmlformats.org/officeDocument/2006/relationships/image" Target="../media/image23.png"/><Relationship Id="rId10" Type="http://schemas.openxmlformats.org/officeDocument/2006/relationships/image" Target="../media/image3.png"/><Relationship Id="rId4" Type="http://schemas.openxmlformats.org/officeDocument/2006/relationships/image" Target="../media/image14.png"/><Relationship Id="rId9" Type="http://schemas.openxmlformats.org/officeDocument/2006/relationships/image" Target="../media/image24.png"/><Relationship Id="rId14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30.png"/><Relationship Id="rId18" Type="http://schemas.openxmlformats.org/officeDocument/2006/relationships/image" Target="../media/image27.png"/><Relationship Id="rId3" Type="http://schemas.openxmlformats.org/officeDocument/2006/relationships/image" Target="../media/image13.jpeg"/><Relationship Id="rId7" Type="http://schemas.openxmlformats.org/officeDocument/2006/relationships/image" Target="../media/image19.png"/><Relationship Id="rId12" Type="http://schemas.openxmlformats.org/officeDocument/2006/relationships/image" Target="../media/image21.png"/><Relationship Id="rId17" Type="http://schemas.openxmlformats.org/officeDocument/2006/relationships/image" Target="../media/image34.png"/><Relationship Id="rId2" Type="http://schemas.openxmlformats.org/officeDocument/2006/relationships/image" Target="../media/image12.jpeg"/><Relationship Id="rId16" Type="http://schemas.openxmlformats.org/officeDocument/2006/relationships/image" Target="../media/image33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9.png"/><Relationship Id="rId5" Type="http://schemas.openxmlformats.org/officeDocument/2006/relationships/image" Target="../media/image15.png"/><Relationship Id="rId15" Type="http://schemas.openxmlformats.org/officeDocument/2006/relationships/image" Target="../media/image32.png"/><Relationship Id="rId10" Type="http://schemas.openxmlformats.org/officeDocument/2006/relationships/image" Target="../media/image28.png"/><Relationship Id="rId4" Type="http://schemas.openxmlformats.org/officeDocument/2006/relationships/image" Target="../media/image14.png"/><Relationship Id="rId9" Type="http://schemas.openxmlformats.org/officeDocument/2006/relationships/image" Target="../media/image3.png"/><Relationship Id="rId14" Type="http://schemas.openxmlformats.org/officeDocument/2006/relationships/image" Target="../media/image3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38.png"/><Relationship Id="rId18" Type="http://schemas.openxmlformats.org/officeDocument/2006/relationships/image" Target="../media/image42.png"/><Relationship Id="rId3" Type="http://schemas.openxmlformats.org/officeDocument/2006/relationships/image" Target="../media/image3.png"/><Relationship Id="rId7" Type="http://schemas.openxmlformats.org/officeDocument/2006/relationships/image" Target="../media/image19.png"/><Relationship Id="rId12" Type="http://schemas.openxmlformats.org/officeDocument/2006/relationships/image" Target="../media/image37.png"/><Relationship Id="rId17" Type="http://schemas.openxmlformats.org/officeDocument/2006/relationships/image" Target="../media/image34.png"/><Relationship Id="rId2" Type="http://schemas.openxmlformats.org/officeDocument/2006/relationships/image" Target="../media/image13.jpeg"/><Relationship Id="rId16" Type="http://schemas.openxmlformats.org/officeDocument/2006/relationships/image" Target="../media/image41.png"/><Relationship Id="rId20" Type="http://schemas.openxmlformats.org/officeDocument/2006/relationships/image" Target="../media/image44.png"/><Relationship Id="rId1" Type="http://schemas.openxmlformats.org/officeDocument/2006/relationships/image" Target="../media/image12.jpeg"/><Relationship Id="rId6" Type="http://schemas.openxmlformats.org/officeDocument/2006/relationships/image" Target="../media/image16.png"/><Relationship Id="rId11" Type="http://schemas.openxmlformats.org/officeDocument/2006/relationships/image" Target="../media/image36.png"/><Relationship Id="rId5" Type="http://schemas.openxmlformats.org/officeDocument/2006/relationships/image" Target="../media/image15.png"/><Relationship Id="rId15" Type="http://schemas.openxmlformats.org/officeDocument/2006/relationships/image" Target="../media/image40.png"/><Relationship Id="rId10" Type="http://schemas.openxmlformats.org/officeDocument/2006/relationships/image" Target="../media/image35.png"/><Relationship Id="rId19" Type="http://schemas.openxmlformats.org/officeDocument/2006/relationships/image" Target="../media/image43.png"/><Relationship Id="rId4" Type="http://schemas.openxmlformats.org/officeDocument/2006/relationships/image" Target="../media/image14.png"/><Relationship Id="rId9" Type="http://schemas.openxmlformats.org/officeDocument/2006/relationships/image" Target="../media/image21.png"/><Relationship Id="rId14" Type="http://schemas.openxmlformats.org/officeDocument/2006/relationships/image" Target="../media/image3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5B2E2BE7-FC47-41CA-A1CB-B5BE46A68E2E}"/>
            </a:ext>
          </a:extLst>
        </xdr:cNvPr>
        <xdr:cNvSpPr txBox="1"/>
      </xdr:nvSpPr>
      <xdr:spPr>
        <a:xfrm>
          <a:off x="0" y="85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9664604-79CC-4C67-800D-FD06A8A1E098}"/>
            </a:ext>
          </a:extLst>
        </xdr:cNvPr>
        <xdr:cNvSpPr txBox="1"/>
      </xdr:nvSpPr>
      <xdr:spPr>
        <a:xfrm>
          <a:off x="6635750" y="85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0</xdr:col>
      <xdr:colOff>81627</xdr:colOff>
      <xdr:row>27</xdr:row>
      <xdr:rowOff>70832</xdr:rowOff>
    </xdr:from>
    <xdr:to>
      <xdr:col>0</xdr:col>
      <xdr:colOff>1218277</xdr:colOff>
      <xdr:row>29</xdr:row>
      <xdr:rowOff>115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BE4BE55-BFBD-4FC8-90FB-79F43675C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27" y="5889741"/>
          <a:ext cx="1136650" cy="231774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35</xdr:row>
      <xdr:rowOff>26683</xdr:rowOff>
    </xdr:from>
    <xdr:to>
      <xdr:col>0</xdr:col>
      <xdr:colOff>1234441</xdr:colOff>
      <xdr:row>36</xdr:row>
      <xdr:rowOff>128617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5C5D825-9A0E-45C3-8F22-8F6FB495C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6843119"/>
          <a:ext cx="1135380" cy="254334"/>
        </a:xfrm>
        <a:prstGeom prst="rect">
          <a:avLst/>
        </a:prstGeom>
      </xdr:spPr>
    </xdr:pic>
    <xdr:clientData/>
  </xdr:twoCellAnchor>
  <xdr:twoCellAnchor editAs="oneCell">
    <xdr:from>
      <xdr:col>0</xdr:col>
      <xdr:colOff>113030</xdr:colOff>
      <xdr:row>41</xdr:row>
      <xdr:rowOff>50800</xdr:rowOff>
    </xdr:from>
    <xdr:to>
      <xdr:col>0</xdr:col>
      <xdr:colOff>1176317</xdr:colOff>
      <xdr:row>42</xdr:row>
      <xdr:rowOff>87630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F9EA6F7-560D-4D77-8AA6-71AF4AA03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30" y="5060950"/>
          <a:ext cx="1063287" cy="189230"/>
        </a:xfrm>
        <a:prstGeom prst="rect">
          <a:avLst/>
        </a:prstGeom>
      </xdr:spPr>
    </xdr:pic>
    <xdr:clientData/>
  </xdr:twoCellAnchor>
  <xdr:twoCellAnchor editAs="oneCell">
    <xdr:from>
      <xdr:col>0</xdr:col>
      <xdr:colOff>89016</xdr:colOff>
      <xdr:row>53</xdr:row>
      <xdr:rowOff>36286</xdr:rowOff>
    </xdr:from>
    <xdr:to>
      <xdr:col>0</xdr:col>
      <xdr:colOff>1266306</xdr:colOff>
      <xdr:row>55</xdr:row>
      <xdr:rowOff>14807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68BD0E2-015E-4421-B8E0-4B867D720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016" y="9097159"/>
          <a:ext cx="1177290" cy="283321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</xdr:colOff>
      <xdr:row>61</xdr:row>
      <xdr:rowOff>38292</xdr:rowOff>
    </xdr:from>
    <xdr:to>
      <xdr:col>0</xdr:col>
      <xdr:colOff>1270452</xdr:colOff>
      <xdr:row>63</xdr:row>
      <xdr:rowOff>132079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5C14252-02B4-4598-BD6A-CCC0B5243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120" y="7029642"/>
          <a:ext cx="1199332" cy="398587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6</xdr:row>
      <xdr:rowOff>66764</xdr:rowOff>
    </xdr:from>
    <xdr:to>
      <xdr:col>0</xdr:col>
      <xdr:colOff>1312949</xdr:colOff>
      <xdr:row>6</xdr:row>
      <xdr:rowOff>683259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90209DEA-5D97-4117-86B8-FA0E38B5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186904"/>
          <a:ext cx="1259609" cy="616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185420</xdr:colOff>
      <xdr:row>6</xdr:row>
      <xdr:rowOff>391160</xdr:rowOff>
    </xdr:from>
    <xdr:to>
      <xdr:col>2</xdr:col>
      <xdr:colOff>633654</xdr:colOff>
      <xdr:row>6</xdr:row>
      <xdr:rowOff>706120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9C71BAE-31D4-4B82-A1D8-5DE65C19E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240" y="1518920"/>
          <a:ext cx="448234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231140</xdr:colOff>
      <xdr:row>6</xdr:row>
      <xdr:rowOff>317098</xdr:rowOff>
    </xdr:from>
    <xdr:to>
      <xdr:col>3</xdr:col>
      <xdr:colOff>586740</xdr:colOff>
      <xdr:row>6</xdr:row>
      <xdr:rowOff>748029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272DB273-A9E0-44E5-AD51-656D568E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580" y="1444858"/>
          <a:ext cx="355600" cy="430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4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6B82049-9094-4CE6-9ABD-D354FECEC0D1}"/>
            </a:ext>
          </a:extLst>
        </xdr:cNvPr>
        <xdr:cNvSpPr txBox="1"/>
      </xdr:nvSpPr>
      <xdr:spPr>
        <a:xfrm>
          <a:off x="0" y="777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11</xdr:col>
      <xdr:colOff>0</xdr:colOff>
      <xdr:row>4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60E000F-25C5-4E00-9ADE-0646D9EF310D}"/>
            </a:ext>
          </a:extLst>
        </xdr:cNvPr>
        <xdr:cNvSpPr txBox="1"/>
      </xdr:nvSpPr>
      <xdr:spPr>
        <a:xfrm>
          <a:off x="0" y="777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0</xdr:col>
      <xdr:colOff>76200</xdr:colOff>
      <xdr:row>47</xdr:row>
      <xdr:rowOff>20781</xdr:rowOff>
    </xdr:from>
    <xdr:to>
      <xdr:col>0</xdr:col>
      <xdr:colOff>1253490</xdr:colOff>
      <xdr:row>49</xdr:row>
      <xdr:rowOff>1611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A0F78A57-3362-4517-BB4B-A1A06F56E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8839199"/>
          <a:ext cx="1177290" cy="283321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3</xdr:row>
      <xdr:rowOff>0</xdr:rowOff>
    </xdr:from>
    <xdr:ext cx="18473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D658F44-474A-4571-827B-3DCF108044DE}"/>
            </a:ext>
          </a:extLst>
        </xdr:cNvPr>
        <xdr:cNvSpPr txBox="1"/>
      </xdr:nvSpPr>
      <xdr:spPr>
        <a:xfrm>
          <a:off x="937260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11</xdr:col>
      <xdr:colOff>0</xdr:colOff>
      <xdr:row>3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F226FD4-CE41-4152-A68C-C1AE397B4C87}"/>
            </a:ext>
          </a:extLst>
        </xdr:cNvPr>
        <xdr:cNvSpPr txBox="1"/>
      </xdr:nvSpPr>
      <xdr:spPr>
        <a:xfrm>
          <a:off x="937260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11</xdr:col>
      <xdr:colOff>0</xdr:colOff>
      <xdr:row>3</xdr:row>
      <xdr:rowOff>0</xdr:rowOff>
    </xdr:from>
    <xdr:ext cx="184731" cy="264560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A5F97EF1-7236-40A5-BDA5-1179D23ED7E8}"/>
            </a:ext>
          </a:extLst>
        </xdr:cNvPr>
        <xdr:cNvSpPr txBox="1"/>
      </xdr:nvSpPr>
      <xdr:spPr>
        <a:xfrm>
          <a:off x="937260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7AAE2C6-2885-4B84-BE45-F223D00A97E0}"/>
            </a:ext>
          </a:extLst>
        </xdr:cNvPr>
        <xdr:cNvSpPr txBox="1"/>
      </xdr:nvSpPr>
      <xdr:spPr>
        <a:xfrm>
          <a:off x="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5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BA4C8E1-ED37-42E0-A1FF-2E5C65FB131C}"/>
            </a:ext>
          </a:extLst>
        </xdr:cNvPr>
        <xdr:cNvSpPr txBox="1"/>
      </xdr:nvSpPr>
      <xdr:spPr>
        <a:xfrm>
          <a:off x="6870700" y="96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2</xdr:col>
      <xdr:colOff>49530</xdr:colOff>
      <xdr:row>6</xdr:row>
      <xdr:rowOff>342900</xdr:rowOff>
    </xdr:from>
    <xdr:to>
      <xdr:col>2</xdr:col>
      <xdr:colOff>609729</xdr:colOff>
      <xdr:row>6</xdr:row>
      <xdr:rowOff>723900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74C50BD4-77DF-4B7C-8601-7C5CB88B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470660"/>
          <a:ext cx="57223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55916</xdr:colOff>
      <xdr:row>6</xdr:row>
      <xdr:rowOff>368968</xdr:rowOff>
    </xdr:from>
    <xdr:to>
      <xdr:col>3</xdr:col>
      <xdr:colOff>675200</xdr:colOff>
      <xdr:row>6</xdr:row>
      <xdr:rowOff>708659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82A02391-3C99-4CF4-8D57-CEE4258A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1516" y="1556084"/>
          <a:ext cx="619284" cy="33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135890</xdr:colOff>
      <xdr:row>6</xdr:row>
      <xdr:rowOff>359076</xdr:rowOff>
    </xdr:from>
    <xdr:to>
      <xdr:col>5</xdr:col>
      <xdr:colOff>629560</xdr:colOff>
      <xdr:row>6</xdr:row>
      <xdr:rowOff>714675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CF896F8A-9031-4CA8-BECC-D25794DE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132" y="1546192"/>
          <a:ext cx="493670" cy="355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140704</xdr:colOff>
      <xdr:row>6</xdr:row>
      <xdr:rowOff>449580</xdr:rowOff>
    </xdr:from>
    <xdr:to>
      <xdr:col>8</xdr:col>
      <xdr:colOff>452537</xdr:colOff>
      <xdr:row>6</xdr:row>
      <xdr:rowOff>807719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F17536C0-D6E3-48D1-A14B-70413DAC5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462" y="1636696"/>
          <a:ext cx="311833" cy="358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124595</xdr:colOff>
      <xdr:row>6</xdr:row>
      <xdr:rowOff>440004</xdr:rowOff>
    </xdr:from>
    <xdr:to>
      <xdr:col>9</xdr:col>
      <xdr:colOff>477655</xdr:colOff>
      <xdr:row>6</xdr:row>
      <xdr:rowOff>808522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478BA4C-2559-4FEF-99E6-F09FF8A34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806" y="1627120"/>
          <a:ext cx="353060" cy="36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112094</xdr:colOff>
      <xdr:row>30</xdr:row>
      <xdr:rowOff>63135</xdr:rowOff>
    </xdr:from>
    <xdr:ext cx="986790" cy="237476"/>
    <xdr:pic>
      <xdr:nvPicPr>
        <xdr:cNvPr id="18" name="Grafik 17">
          <a:extLst>
            <a:ext uri="{FF2B5EF4-FFF2-40B4-BE49-F238E27FC236}">
              <a16:creationId xmlns:a16="http://schemas.microsoft.com/office/drawing/2014/main" id="{EF71994C-945E-4A9D-B5AA-C22F7272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094" y="7153746"/>
          <a:ext cx="986790" cy="237476"/>
        </a:xfrm>
        <a:prstGeom prst="rect">
          <a:avLst/>
        </a:prstGeom>
      </xdr:spPr>
    </xdr:pic>
    <xdr:clientData/>
  </xdr:oneCellAnchor>
  <xdr:twoCellAnchor editAs="oneCell">
    <xdr:from>
      <xdr:col>0</xdr:col>
      <xdr:colOff>87630</xdr:colOff>
      <xdr:row>46</xdr:row>
      <xdr:rowOff>38100</xdr:rowOff>
    </xdr:from>
    <xdr:to>
      <xdr:col>0</xdr:col>
      <xdr:colOff>1032510</xdr:colOff>
      <xdr:row>47</xdr:row>
      <xdr:rowOff>102074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EBD74E83-9265-416C-891C-A6F7F4145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630" y="15138400"/>
          <a:ext cx="944880" cy="203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96284</xdr:rowOff>
    </xdr:from>
    <xdr:to>
      <xdr:col>0</xdr:col>
      <xdr:colOff>1036320</xdr:colOff>
      <xdr:row>66</xdr:row>
      <xdr:rowOff>65891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5A067F9D-2423-4A3A-A5F1-5A1452D6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120144"/>
          <a:ext cx="1036320" cy="276947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75</xdr:row>
      <xdr:rowOff>105048</xdr:rowOff>
    </xdr:from>
    <xdr:to>
      <xdr:col>0</xdr:col>
      <xdr:colOff>990600</xdr:colOff>
      <xdr:row>77</xdr:row>
      <xdr:rowOff>53191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D9885FE9-31B8-4DD0-AE00-44B603EA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" y="7511688"/>
          <a:ext cx="922020" cy="252943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70</xdr:row>
      <xdr:rowOff>76200</xdr:rowOff>
    </xdr:from>
    <xdr:to>
      <xdr:col>0</xdr:col>
      <xdr:colOff>999889</xdr:colOff>
      <xdr:row>72</xdr:row>
      <xdr:rowOff>22711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17776BA7-1B6F-44FC-A115-61225287A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20" y="6720840"/>
          <a:ext cx="916069" cy="251311"/>
        </a:xfrm>
        <a:prstGeom prst="rect">
          <a:avLst/>
        </a:prstGeom>
      </xdr:spPr>
    </xdr:pic>
    <xdr:clientData/>
  </xdr:twoCellAnchor>
  <xdr:twoCellAnchor editAs="oneCell">
    <xdr:from>
      <xdr:col>12</xdr:col>
      <xdr:colOff>662539</xdr:colOff>
      <xdr:row>3</xdr:row>
      <xdr:rowOff>59112</xdr:rowOff>
    </xdr:from>
    <xdr:to>
      <xdr:col>14</xdr:col>
      <xdr:colOff>313623</xdr:colOff>
      <xdr:row>21</xdr:row>
      <xdr:rowOff>130453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C2085D1-5AE9-40A6-A755-D805DE670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3928" y="797049"/>
          <a:ext cx="822158" cy="3809151"/>
        </a:xfrm>
        <a:prstGeom prst="rect">
          <a:avLst/>
        </a:prstGeom>
      </xdr:spPr>
    </xdr:pic>
    <xdr:clientData/>
  </xdr:twoCellAnchor>
  <xdr:twoCellAnchor editAs="oneCell">
    <xdr:from>
      <xdr:col>15</xdr:col>
      <xdr:colOff>62163</xdr:colOff>
      <xdr:row>3</xdr:row>
      <xdr:rowOff>4793</xdr:rowOff>
    </xdr:from>
    <xdr:to>
      <xdr:col>16</xdr:col>
      <xdr:colOff>372979</xdr:colOff>
      <xdr:row>21</xdr:row>
      <xdr:rowOff>216964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E3DF6B12-D130-4E05-AD1B-E6FB8D1EF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9742" y="742730"/>
          <a:ext cx="872290" cy="3949981"/>
        </a:xfrm>
        <a:prstGeom prst="rect">
          <a:avLst/>
        </a:prstGeom>
      </xdr:spPr>
    </xdr:pic>
    <xdr:clientData/>
  </xdr:twoCellAnchor>
  <xdr:twoCellAnchor editAs="oneCell">
    <xdr:from>
      <xdr:col>12</xdr:col>
      <xdr:colOff>690612</xdr:colOff>
      <xdr:row>21</xdr:row>
      <xdr:rowOff>368110</xdr:rowOff>
    </xdr:from>
    <xdr:to>
      <xdr:col>20</xdr:col>
      <xdr:colOff>51200</xdr:colOff>
      <xdr:row>26</xdr:row>
      <xdr:rowOff>439932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B3B70622-E353-4E06-A96E-44A1BAF6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2001" y="4843857"/>
          <a:ext cx="3585010" cy="1379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82</xdr:row>
      <xdr:rowOff>30042</xdr:rowOff>
    </xdr:from>
    <xdr:to>
      <xdr:col>0</xdr:col>
      <xdr:colOff>1117078</xdr:colOff>
      <xdr:row>83</xdr:row>
      <xdr:rowOff>67711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93F2AFA-DFFD-419D-98A9-E6C4443C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720" y="11193342"/>
          <a:ext cx="1071358" cy="213797"/>
        </a:xfrm>
        <a:prstGeom prst="rect">
          <a:avLst/>
        </a:prstGeom>
      </xdr:spPr>
    </xdr:pic>
    <xdr:clientData/>
  </xdr:twoCellAnchor>
  <xdr:oneCellAnchor>
    <xdr:from>
      <xdr:col>0</xdr:col>
      <xdr:colOff>76200</xdr:colOff>
      <xdr:row>40</xdr:row>
      <xdr:rowOff>22860</xdr:rowOff>
    </xdr:from>
    <xdr:ext cx="986790" cy="237476"/>
    <xdr:pic>
      <xdr:nvPicPr>
        <xdr:cNvPr id="31" name="Grafik 30">
          <a:extLst>
            <a:ext uri="{FF2B5EF4-FFF2-40B4-BE49-F238E27FC236}">
              <a16:creationId xmlns:a16="http://schemas.microsoft.com/office/drawing/2014/main" id="{258200A9-463D-448F-A59A-F0A16F067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" y="11224260"/>
          <a:ext cx="986790" cy="237476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</xdr:colOff>
      <xdr:row>52</xdr:row>
      <xdr:rowOff>98922</xdr:rowOff>
    </xdr:from>
    <xdr:to>
      <xdr:col>0</xdr:col>
      <xdr:colOff>1135380</xdr:colOff>
      <xdr:row>54</xdr:row>
      <xdr:rowOff>58282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65301DCA-1B71-4931-AD91-929FE6E2E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8100" y="9075282"/>
          <a:ext cx="1097280" cy="274320"/>
        </a:xfrm>
        <a:prstGeom prst="rect">
          <a:avLst/>
        </a:prstGeom>
      </xdr:spPr>
    </xdr:pic>
    <xdr:clientData/>
  </xdr:twoCellAnchor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1AB62D42-BFE2-44EF-9934-3ABB67F611A4}"/>
            </a:ext>
          </a:extLst>
        </xdr:cNvPr>
        <xdr:cNvSpPr txBox="1"/>
      </xdr:nvSpPr>
      <xdr:spPr>
        <a:xfrm>
          <a:off x="0" y="777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4</xdr:col>
      <xdr:colOff>137160</xdr:colOff>
      <xdr:row>6</xdr:row>
      <xdr:rowOff>421600</xdr:rowOff>
    </xdr:from>
    <xdr:to>
      <xdr:col>4</xdr:col>
      <xdr:colOff>640080</xdr:colOff>
      <xdr:row>6</xdr:row>
      <xdr:rowOff>716280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BDC21D28-6846-4C40-8DF0-60661E86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7580" y="1549360"/>
          <a:ext cx="502920" cy="29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</xdr:colOff>
      <xdr:row>6</xdr:row>
      <xdr:rowOff>44450</xdr:rowOff>
    </xdr:from>
    <xdr:to>
      <xdr:col>0</xdr:col>
      <xdr:colOff>1157399</xdr:colOff>
      <xdr:row>6</xdr:row>
      <xdr:rowOff>749300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305C3F08-1A71-4E80-ABA8-281A3DC79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231900"/>
          <a:ext cx="1068499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087FE9A-BA98-4588-8DAD-9D3361C6195D}"/>
            </a:ext>
          </a:extLst>
        </xdr:cNvPr>
        <xdr:cNvSpPr txBox="1"/>
      </xdr:nvSpPr>
      <xdr:spPr>
        <a:xfrm>
          <a:off x="0" y="777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5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0D3F2F7-8A47-43E2-A95B-A6C2B97D894F}"/>
            </a:ext>
          </a:extLst>
        </xdr:cNvPr>
        <xdr:cNvSpPr txBox="1"/>
      </xdr:nvSpPr>
      <xdr:spPr>
        <a:xfrm>
          <a:off x="691896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5</xdr:col>
      <xdr:colOff>219308</xdr:colOff>
      <xdr:row>6</xdr:row>
      <xdr:rowOff>380466</xdr:rowOff>
    </xdr:from>
    <xdr:to>
      <xdr:col>5</xdr:col>
      <xdr:colOff>712978</xdr:colOff>
      <xdr:row>6</xdr:row>
      <xdr:rowOff>736065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AA48B7B-7C4F-4CA4-87B2-098F3BDB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1097" y="1535498"/>
          <a:ext cx="493670" cy="355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140703</xdr:colOff>
      <xdr:row>6</xdr:row>
      <xdr:rowOff>441559</xdr:rowOff>
    </xdr:from>
    <xdr:to>
      <xdr:col>8</xdr:col>
      <xdr:colOff>452536</xdr:colOff>
      <xdr:row>6</xdr:row>
      <xdr:rowOff>799698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FDF700FE-1734-4B3F-A312-19666868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77" y="1548464"/>
          <a:ext cx="311833" cy="358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156679</xdr:colOff>
      <xdr:row>6</xdr:row>
      <xdr:rowOff>448025</xdr:rowOff>
    </xdr:from>
    <xdr:to>
      <xdr:col>9</xdr:col>
      <xdr:colOff>509739</xdr:colOff>
      <xdr:row>6</xdr:row>
      <xdr:rowOff>816543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E4B2C29F-84A0-46B9-9EB3-68250B5D3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342" y="1562951"/>
          <a:ext cx="353060" cy="36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60</xdr:row>
      <xdr:rowOff>0</xdr:rowOff>
    </xdr:from>
    <xdr:to>
      <xdr:col>0</xdr:col>
      <xdr:colOff>982980</xdr:colOff>
      <xdr:row>61</xdr:row>
      <xdr:rowOff>51274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E5B85962-A1B3-4D55-BBB0-AAFB3394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8785860"/>
          <a:ext cx="944880" cy="203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123022</xdr:rowOff>
    </xdr:from>
    <xdr:to>
      <xdr:col>0</xdr:col>
      <xdr:colOff>1036320</xdr:colOff>
      <xdr:row>81</xdr:row>
      <xdr:rowOff>92629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14E6ED97-8028-45FE-9352-C87DCC727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420548"/>
          <a:ext cx="1036320" cy="277081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75</xdr:row>
      <xdr:rowOff>105048</xdr:rowOff>
    </xdr:from>
    <xdr:to>
      <xdr:col>0</xdr:col>
      <xdr:colOff>990600</xdr:colOff>
      <xdr:row>77</xdr:row>
      <xdr:rowOff>53190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FD8AD30-ABD0-443A-A647-9F3C8B37F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" y="7488828"/>
          <a:ext cx="922020" cy="252943"/>
        </a:xfrm>
        <a:prstGeom prst="rect">
          <a:avLst/>
        </a:prstGeom>
      </xdr:spPr>
    </xdr:pic>
    <xdr:clientData/>
  </xdr:twoCellAnchor>
  <xdr:twoCellAnchor editAs="oneCell">
    <xdr:from>
      <xdr:col>0</xdr:col>
      <xdr:colOff>37030</xdr:colOff>
      <xdr:row>65</xdr:row>
      <xdr:rowOff>49463</xdr:rowOff>
    </xdr:from>
    <xdr:to>
      <xdr:col>0</xdr:col>
      <xdr:colOff>953099</xdr:colOff>
      <xdr:row>66</xdr:row>
      <xdr:rowOff>149712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E8106BE-088E-452B-85B7-786C2BE94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030" y="12194674"/>
          <a:ext cx="916069" cy="253985"/>
        </a:xfrm>
        <a:prstGeom prst="rect">
          <a:avLst/>
        </a:prstGeom>
      </xdr:spPr>
    </xdr:pic>
    <xdr:clientData/>
  </xdr:twoCellAnchor>
  <xdr:twoCellAnchor editAs="oneCell">
    <xdr:from>
      <xdr:col>13</xdr:col>
      <xdr:colOff>211355</xdr:colOff>
      <xdr:row>22</xdr:row>
      <xdr:rowOff>101922</xdr:rowOff>
    </xdr:from>
    <xdr:to>
      <xdr:col>20</xdr:col>
      <xdr:colOff>25534</xdr:colOff>
      <xdr:row>29</xdr:row>
      <xdr:rowOff>4892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35E53B3C-D8E7-4F45-BA17-17768958E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8702" y="4866427"/>
          <a:ext cx="3822032" cy="14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53741</xdr:colOff>
      <xdr:row>90</xdr:row>
      <xdr:rowOff>86190</xdr:rowOff>
    </xdr:from>
    <xdr:to>
      <xdr:col>0</xdr:col>
      <xdr:colOff>1125099</xdr:colOff>
      <xdr:row>91</xdr:row>
      <xdr:rowOff>147920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D12715E2-5741-4221-AEC3-EF8D79CC6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741" y="15229937"/>
          <a:ext cx="1071358" cy="214131"/>
        </a:xfrm>
        <a:prstGeom prst="rect">
          <a:avLst/>
        </a:prstGeom>
      </xdr:spPr>
    </xdr:pic>
    <xdr:clientData/>
  </xdr:twoCellAnchor>
  <xdr:twoCellAnchor editAs="oneCell">
    <xdr:from>
      <xdr:col>12</xdr:col>
      <xdr:colOff>731520</xdr:colOff>
      <xdr:row>3</xdr:row>
      <xdr:rowOff>75798</xdr:rowOff>
    </xdr:from>
    <xdr:to>
      <xdr:col>15</xdr:col>
      <xdr:colOff>464820</xdr:colOff>
      <xdr:row>22</xdr:row>
      <xdr:rowOff>85627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D1DF3CA-11C3-422A-B218-EA5A7A635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6762" y="685398"/>
          <a:ext cx="1329489" cy="4197220"/>
        </a:xfrm>
        <a:prstGeom prst="rect">
          <a:avLst/>
        </a:prstGeom>
      </xdr:spPr>
    </xdr:pic>
    <xdr:clientData/>
  </xdr:twoCellAnchor>
  <xdr:oneCellAnchor>
    <xdr:from>
      <xdr:col>0</xdr:col>
      <xdr:colOff>90170</xdr:colOff>
      <xdr:row>31</xdr:row>
      <xdr:rowOff>85594</xdr:rowOff>
    </xdr:from>
    <xdr:ext cx="986790" cy="237476"/>
    <xdr:pic>
      <xdr:nvPicPr>
        <xdr:cNvPr id="22" name="Grafik 21">
          <a:extLst>
            <a:ext uri="{FF2B5EF4-FFF2-40B4-BE49-F238E27FC236}">
              <a16:creationId xmlns:a16="http://schemas.microsoft.com/office/drawing/2014/main" id="{02E89079-B809-47F6-AF6E-9E0833DA7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0170" y="17141694"/>
          <a:ext cx="986790" cy="237476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41</xdr:row>
      <xdr:rowOff>22860</xdr:rowOff>
    </xdr:from>
    <xdr:ext cx="986790" cy="237476"/>
    <xdr:pic>
      <xdr:nvPicPr>
        <xdr:cNvPr id="23" name="Grafik 22">
          <a:extLst>
            <a:ext uri="{FF2B5EF4-FFF2-40B4-BE49-F238E27FC236}">
              <a16:creationId xmlns:a16="http://schemas.microsoft.com/office/drawing/2014/main" id="{6D9520B8-B074-4273-A85C-D9AE909D9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200" y="11224260"/>
          <a:ext cx="986790" cy="237476"/>
        </a:xfrm>
        <a:prstGeom prst="rect">
          <a:avLst/>
        </a:prstGeom>
      </xdr:spPr>
    </xdr:pic>
    <xdr:clientData/>
  </xdr:oneCellAnchor>
  <xdr:twoCellAnchor editAs="oneCell">
    <xdr:from>
      <xdr:col>2</xdr:col>
      <xdr:colOff>114300</xdr:colOff>
      <xdr:row>6</xdr:row>
      <xdr:rowOff>314463</xdr:rowOff>
    </xdr:from>
    <xdr:to>
      <xdr:col>2</xdr:col>
      <xdr:colOff>495300</xdr:colOff>
      <xdr:row>7</xdr:row>
      <xdr:rowOff>1270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5BA5AE85-7088-4E54-83F7-ACBBA370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1442223"/>
          <a:ext cx="381000" cy="531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311618</xdr:colOff>
      <xdr:row>6</xdr:row>
      <xdr:rowOff>352792</xdr:rowOff>
    </xdr:from>
    <xdr:to>
      <xdr:col>3</xdr:col>
      <xdr:colOff>679477</xdr:colOff>
      <xdr:row>6</xdr:row>
      <xdr:rowOff>787131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87225F32-9E3D-4C6D-9B49-0F451E6F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934" y="1502476"/>
          <a:ext cx="367859" cy="434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48</xdr:row>
      <xdr:rowOff>98922</xdr:rowOff>
    </xdr:from>
    <xdr:to>
      <xdr:col>0</xdr:col>
      <xdr:colOff>1135380</xdr:colOff>
      <xdr:row>50</xdr:row>
      <xdr:rowOff>70983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B8347D1F-D039-49F2-9180-219E5AC2D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" y="8884782"/>
          <a:ext cx="1097280" cy="274320"/>
        </a:xfrm>
        <a:prstGeom prst="rect">
          <a:avLst/>
        </a:prstGeom>
      </xdr:spPr>
    </xdr:pic>
    <xdr:clientData/>
  </xdr:twoCellAnchor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CD809032-3EAB-467D-9279-487A1CAE2309}"/>
            </a:ext>
          </a:extLst>
        </xdr:cNvPr>
        <xdr:cNvSpPr txBox="1"/>
      </xdr:nvSpPr>
      <xdr:spPr>
        <a:xfrm>
          <a:off x="0" y="777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4</xdr:col>
      <xdr:colOff>152400</xdr:colOff>
      <xdr:row>6</xdr:row>
      <xdr:rowOff>375411</xdr:rowOff>
    </xdr:from>
    <xdr:to>
      <xdr:col>4</xdr:col>
      <xdr:colOff>579120</xdr:colOff>
      <xdr:row>6</xdr:row>
      <xdr:rowOff>769619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B31ABB4-BD2A-47B4-971F-B7BD7B04B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503171"/>
          <a:ext cx="426720" cy="394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69850</xdr:colOff>
      <xdr:row>6</xdr:row>
      <xdr:rowOff>57150</xdr:rowOff>
    </xdr:from>
    <xdr:to>
      <xdr:col>0</xdr:col>
      <xdr:colOff>1138349</xdr:colOff>
      <xdr:row>6</xdr:row>
      <xdr:rowOff>762000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3EF0007A-983D-478F-8355-9B64AE9D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187450"/>
          <a:ext cx="1068499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5</xdr:row>
      <xdr:rowOff>0</xdr:rowOff>
    </xdr:from>
    <xdr:ext cx="184731" cy="264560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8F6CF12D-5E80-4951-A157-0231E4CC26DC}"/>
            </a:ext>
          </a:extLst>
        </xdr:cNvPr>
        <xdr:cNvSpPr txBox="1"/>
      </xdr:nvSpPr>
      <xdr:spPr>
        <a:xfrm>
          <a:off x="6807200" y="102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97FAC00-6D32-4755-A1E1-31BF8A92CCC7}"/>
            </a:ext>
          </a:extLst>
        </xdr:cNvPr>
        <xdr:cNvSpPr txBox="1"/>
      </xdr:nvSpPr>
      <xdr:spPr>
        <a:xfrm>
          <a:off x="0" y="777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5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10247C6-6837-471D-B9FA-165A574084E4}"/>
            </a:ext>
          </a:extLst>
        </xdr:cNvPr>
        <xdr:cNvSpPr txBox="1"/>
      </xdr:nvSpPr>
      <xdr:spPr>
        <a:xfrm>
          <a:off x="698754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5</xdr:col>
      <xdr:colOff>131879</xdr:colOff>
      <xdr:row>6</xdr:row>
      <xdr:rowOff>437014</xdr:rowOff>
    </xdr:from>
    <xdr:to>
      <xdr:col>5</xdr:col>
      <xdr:colOff>625549</xdr:colOff>
      <xdr:row>6</xdr:row>
      <xdr:rowOff>792613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C29AB1A-FF10-4957-8BB1-6A72463E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58" y="1696319"/>
          <a:ext cx="493670" cy="355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100598</xdr:colOff>
      <xdr:row>6</xdr:row>
      <xdr:rowOff>449580</xdr:rowOff>
    </xdr:from>
    <xdr:to>
      <xdr:col>8</xdr:col>
      <xdr:colOff>412431</xdr:colOff>
      <xdr:row>6</xdr:row>
      <xdr:rowOff>807719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7DE0308-C5E6-4892-91D9-50763EBC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77" y="1708885"/>
          <a:ext cx="311833" cy="358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140637</xdr:colOff>
      <xdr:row>6</xdr:row>
      <xdr:rowOff>448025</xdr:rowOff>
    </xdr:from>
    <xdr:to>
      <xdr:col>9</xdr:col>
      <xdr:colOff>493697</xdr:colOff>
      <xdr:row>6</xdr:row>
      <xdr:rowOff>816543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69E2935-C0D8-486A-A86A-2D5D4678F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4890" y="1707330"/>
          <a:ext cx="353060" cy="36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50</xdr:row>
      <xdr:rowOff>45720</xdr:rowOff>
    </xdr:from>
    <xdr:to>
      <xdr:col>0</xdr:col>
      <xdr:colOff>975360</xdr:colOff>
      <xdr:row>51</xdr:row>
      <xdr:rowOff>96994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24E77FF0-98B0-4164-8997-5474E984D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" y="10774680"/>
          <a:ext cx="944880" cy="203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96284</xdr:rowOff>
    </xdr:from>
    <xdr:to>
      <xdr:col>0</xdr:col>
      <xdr:colOff>1036320</xdr:colOff>
      <xdr:row>87</xdr:row>
      <xdr:rowOff>68431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481D1644-ACC3-4FE1-8C9F-6E6453BED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272544"/>
          <a:ext cx="1036320" cy="276947"/>
        </a:xfrm>
        <a:prstGeom prst="rect">
          <a:avLst/>
        </a:prstGeom>
      </xdr:spPr>
    </xdr:pic>
    <xdr:clientData/>
  </xdr:twoCellAnchor>
  <xdr:twoCellAnchor editAs="oneCell">
    <xdr:from>
      <xdr:col>0</xdr:col>
      <xdr:colOff>29812</xdr:colOff>
      <xdr:row>78</xdr:row>
      <xdr:rowOff>54248</xdr:rowOff>
    </xdr:from>
    <xdr:to>
      <xdr:col>0</xdr:col>
      <xdr:colOff>951832</xdr:colOff>
      <xdr:row>80</xdr:row>
      <xdr:rowOff>2391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8AEC1ABD-0AC1-4968-9892-CBD2BB806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812" y="14431985"/>
          <a:ext cx="922020" cy="255617"/>
        </a:xfrm>
        <a:prstGeom prst="rect">
          <a:avLst/>
        </a:prstGeom>
      </xdr:spPr>
    </xdr:pic>
    <xdr:clientData/>
  </xdr:twoCellAnchor>
  <xdr:twoCellAnchor editAs="oneCell">
    <xdr:from>
      <xdr:col>0</xdr:col>
      <xdr:colOff>52404</xdr:colOff>
      <xdr:row>68</xdr:row>
      <xdr:rowOff>142909</xdr:rowOff>
    </xdr:from>
    <xdr:to>
      <xdr:col>0</xdr:col>
      <xdr:colOff>968473</xdr:colOff>
      <xdr:row>70</xdr:row>
      <xdr:rowOff>89420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17F7119C-B689-44EB-AB23-2F8DC9912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404" y="12983277"/>
          <a:ext cx="916069" cy="253985"/>
        </a:xfrm>
        <a:prstGeom prst="rect">
          <a:avLst/>
        </a:prstGeom>
      </xdr:spPr>
    </xdr:pic>
    <xdr:clientData/>
  </xdr:twoCellAnchor>
  <xdr:twoCellAnchor editAs="oneCell">
    <xdr:from>
      <xdr:col>14</xdr:col>
      <xdr:colOff>340494</xdr:colOff>
      <xdr:row>21</xdr:row>
      <xdr:rowOff>177894</xdr:rowOff>
    </xdr:from>
    <xdr:to>
      <xdr:col>22</xdr:col>
      <xdr:colOff>251192</xdr:colOff>
      <xdr:row>27</xdr:row>
      <xdr:rowOff>339129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B0A7B479-ADCA-48F6-A84E-080D7EB5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799" y="4693747"/>
          <a:ext cx="4401152" cy="1685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98</xdr:row>
      <xdr:rowOff>30042</xdr:rowOff>
    </xdr:from>
    <xdr:to>
      <xdr:col>0</xdr:col>
      <xdr:colOff>1117078</xdr:colOff>
      <xdr:row>99</xdr:row>
      <xdr:rowOff>91439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A9300B5B-96AE-4115-BB33-C5BCC3F83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" y="13349802"/>
          <a:ext cx="1071358" cy="213797"/>
        </a:xfrm>
        <a:prstGeom prst="rect">
          <a:avLst/>
        </a:prstGeom>
      </xdr:spPr>
    </xdr:pic>
    <xdr:clientData/>
  </xdr:twoCellAnchor>
  <xdr:oneCellAnchor>
    <xdr:from>
      <xdr:col>0</xdr:col>
      <xdr:colOff>106078</xdr:colOff>
      <xdr:row>30</xdr:row>
      <xdr:rowOff>49099</xdr:rowOff>
    </xdr:from>
    <xdr:ext cx="986790" cy="237476"/>
    <xdr:pic>
      <xdr:nvPicPr>
        <xdr:cNvPr id="16" name="Grafik 15">
          <a:extLst>
            <a:ext uri="{FF2B5EF4-FFF2-40B4-BE49-F238E27FC236}">
              <a16:creationId xmlns:a16="http://schemas.microsoft.com/office/drawing/2014/main" id="{246CEF4C-1C1A-4F2B-9FB3-B0FD548C3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078" y="7019394"/>
          <a:ext cx="986790" cy="237476"/>
        </a:xfrm>
        <a:prstGeom prst="rect">
          <a:avLst/>
        </a:prstGeom>
      </xdr:spPr>
    </xdr:pic>
    <xdr:clientData/>
  </xdr:oneCellAnchor>
  <xdr:oneCellAnchor>
    <xdr:from>
      <xdr:col>0</xdr:col>
      <xdr:colOff>60960</xdr:colOff>
      <xdr:row>44</xdr:row>
      <xdr:rowOff>0</xdr:rowOff>
    </xdr:from>
    <xdr:ext cx="986790" cy="237476"/>
    <xdr:pic>
      <xdr:nvPicPr>
        <xdr:cNvPr id="17" name="Grafik 16">
          <a:extLst>
            <a:ext uri="{FF2B5EF4-FFF2-40B4-BE49-F238E27FC236}">
              <a16:creationId xmlns:a16="http://schemas.microsoft.com/office/drawing/2014/main" id="{448E8BD9-6B4B-42EB-BC76-D22BBAFE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" y="12313920"/>
          <a:ext cx="986790" cy="237476"/>
        </a:xfrm>
        <a:prstGeom prst="rect">
          <a:avLst/>
        </a:prstGeom>
      </xdr:spPr>
    </xdr:pic>
    <xdr:clientData/>
  </xdr:oneCellAnchor>
  <xdr:twoCellAnchor editAs="oneCell">
    <xdr:from>
      <xdr:col>13</xdr:col>
      <xdr:colOff>716280</xdr:colOff>
      <xdr:row>4</xdr:row>
      <xdr:rowOff>6907</xdr:rowOff>
    </xdr:from>
    <xdr:to>
      <xdr:col>15</xdr:col>
      <xdr:colOff>294340</xdr:colOff>
      <xdr:row>21</xdr:row>
      <xdr:rowOff>154874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29868A0D-FB39-4341-8EBE-2A89B577D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1627" y="905265"/>
          <a:ext cx="898525" cy="3703967"/>
        </a:xfrm>
        <a:prstGeom prst="rect">
          <a:avLst/>
        </a:prstGeom>
      </xdr:spPr>
    </xdr:pic>
    <xdr:clientData/>
  </xdr:twoCellAnchor>
  <xdr:twoCellAnchor editAs="oneCell">
    <xdr:from>
      <xdr:col>16</xdr:col>
      <xdr:colOff>101066</xdr:colOff>
      <xdr:row>3</xdr:row>
      <xdr:rowOff>141280</xdr:rowOff>
    </xdr:from>
    <xdr:to>
      <xdr:col>17</xdr:col>
      <xdr:colOff>223789</xdr:colOff>
      <xdr:row>21</xdr:row>
      <xdr:rowOff>136828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87ECD081-70D8-4405-BBC2-68B52A57A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2603" y="871196"/>
          <a:ext cx="804512" cy="371999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56</xdr:row>
      <xdr:rowOff>60822</xdr:rowOff>
    </xdr:from>
    <xdr:to>
      <xdr:col>0</xdr:col>
      <xdr:colOff>1143000</xdr:colOff>
      <xdr:row>58</xdr:row>
      <xdr:rowOff>30342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79D4BC91-E2AC-472A-83B1-5D1B3963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720" y="9555342"/>
          <a:ext cx="109728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</xdr:colOff>
      <xdr:row>6</xdr:row>
      <xdr:rowOff>311618</xdr:rowOff>
    </xdr:from>
    <xdr:to>
      <xdr:col>2</xdr:col>
      <xdr:colOff>487680</xdr:colOff>
      <xdr:row>6</xdr:row>
      <xdr:rowOff>800100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198FA48D-C6A1-4CF4-9B3D-18B30DD7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1439378"/>
          <a:ext cx="320040" cy="488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283143</xdr:colOff>
      <xdr:row>6</xdr:row>
      <xdr:rowOff>307473</xdr:rowOff>
    </xdr:from>
    <xdr:to>
      <xdr:col>3</xdr:col>
      <xdr:colOff>595563</xdr:colOff>
      <xdr:row>6</xdr:row>
      <xdr:rowOff>808121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8E94DA12-1094-4E2C-8215-03BAA5423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869" y="1470526"/>
          <a:ext cx="312420" cy="500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285551</xdr:colOff>
      <xdr:row>3</xdr:row>
      <xdr:rowOff>150413</xdr:rowOff>
    </xdr:from>
    <xdr:to>
      <xdr:col>18</xdr:col>
      <xdr:colOff>453659</xdr:colOff>
      <xdr:row>21</xdr:row>
      <xdr:rowOff>63838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B6C582E5-F679-40D6-AF6D-53D737B9A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8877" y="880329"/>
          <a:ext cx="920750" cy="364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14839</xdr:colOff>
      <xdr:row>93</xdr:row>
      <xdr:rowOff>7621</xdr:rowOff>
    </xdr:from>
    <xdr:to>
      <xdr:col>0</xdr:col>
      <xdr:colOff>1178382</xdr:colOff>
      <xdr:row>94</xdr:row>
      <xdr:rowOff>91439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76BB8AD9-263A-4747-A6B4-D8503F68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839" y="16073789"/>
          <a:ext cx="1163543" cy="228197"/>
        </a:xfrm>
        <a:prstGeom prst="rect">
          <a:avLst/>
        </a:prstGeom>
      </xdr:spPr>
    </xdr:pic>
    <xdr:clientData/>
  </xdr:twoCellAnchor>
  <xdr:twoCellAnchor editAs="oneCell">
    <xdr:from>
      <xdr:col>0</xdr:col>
      <xdr:colOff>88901</xdr:colOff>
      <xdr:row>6</xdr:row>
      <xdr:rowOff>78948</xdr:rowOff>
    </xdr:from>
    <xdr:to>
      <xdr:col>0</xdr:col>
      <xdr:colOff>1085851</xdr:colOff>
      <xdr:row>6</xdr:row>
      <xdr:rowOff>736600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830C6659-8341-4013-B778-BC69B17DB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1" y="1253698"/>
          <a:ext cx="996950" cy="657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6</xdr:row>
      <xdr:rowOff>398713</xdr:rowOff>
    </xdr:from>
    <xdr:to>
      <xdr:col>4</xdr:col>
      <xdr:colOff>544697</xdr:colOff>
      <xdr:row>6</xdr:row>
      <xdr:rowOff>792921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F5BF9F6-0ACE-47CC-B833-22C065C5D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4124" y="1658018"/>
          <a:ext cx="426720" cy="394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5</xdr:row>
      <xdr:rowOff>0</xdr:rowOff>
    </xdr:from>
    <xdr:ext cx="184731" cy="264560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23F2AEBD-FE8D-44E8-ADAC-23591494609C}"/>
            </a:ext>
          </a:extLst>
        </xdr:cNvPr>
        <xdr:cNvSpPr txBox="1"/>
      </xdr:nvSpPr>
      <xdr:spPr>
        <a:xfrm>
          <a:off x="7029450" y="96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5</xdr:row>
      <xdr:rowOff>0</xdr:rowOff>
    </xdr:from>
    <xdr:ext cx="184731" cy="264560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50761CCC-934A-4935-B954-80C0381DD73A}"/>
            </a:ext>
          </a:extLst>
        </xdr:cNvPr>
        <xdr:cNvSpPr txBox="1"/>
      </xdr:nvSpPr>
      <xdr:spPr>
        <a:xfrm>
          <a:off x="7029450" y="96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DA543FE-7D08-4AC1-8E60-2908C16FCEAA}"/>
            </a:ext>
          </a:extLst>
        </xdr:cNvPr>
        <xdr:cNvSpPr txBox="1"/>
      </xdr:nvSpPr>
      <xdr:spPr>
        <a:xfrm>
          <a:off x="0" y="777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11</xdr:col>
      <xdr:colOff>0</xdr:colOff>
      <xdr:row>5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6373D7B-BA9E-4A84-806E-20A946D0CEA0}"/>
            </a:ext>
          </a:extLst>
        </xdr:cNvPr>
        <xdr:cNvSpPr txBox="1"/>
      </xdr:nvSpPr>
      <xdr:spPr>
        <a:xfrm>
          <a:off x="683514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151131</xdr:colOff>
      <xdr:row>6</xdr:row>
      <xdr:rowOff>449580</xdr:rowOff>
    </xdr:from>
    <xdr:ext cx="311833" cy="358139"/>
    <xdr:pic>
      <xdr:nvPicPr>
        <xdr:cNvPr id="4" name="Grafik 3">
          <a:extLst>
            <a:ext uri="{FF2B5EF4-FFF2-40B4-BE49-F238E27FC236}">
              <a16:creationId xmlns:a16="http://schemas.microsoft.com/office/drawing/2014/main" id="{164C17DD-BF31-4763-B95A-08B8E1F47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0011" y="1882140"/>
          <a:ext cx="311833" cy="358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172721</xdr:colOff>
      <xdr:row>6</xdr:row>
      <xdr:rowOff>423962</xdr:rowOff>
    </xdr:from>
    <xdr:ext cx="353060" cy="368518"/>
    <xdr:pic>
      <xdr:nvPicPr>
        <xdr:cNvPr id="5" name="Grafik 4">
          <a:extLst>
            <a:ext uri="{FF2B5EF4-FFF2-40B4-BE49-F238E27FC236}">
              <a16:creationId xmlns:a16="http://schemas.microsoft.com/office/drawing/2014/main" id="{A40EB347-77EA-4C4A-B0FD-420693FC9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0161" y="1856522"/>
          <a:ext cx="353060" cy="36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80010</xdr:colOff>
      <xdr:row>30</xdr:row>
      <xdr:rowOff>55114</xdr:rowOff>
    </xdr:from>
    <xdr:ext cx="986790" cy="237476"/>
    <xdr:pic>
      <xdr:nvPicPr>
        <xdr:cNvPr id="6" name="Grafik 5">
          <a:extLst>
            <a:ext uri="{FF2B5EF4-FFF2-40B4-BE49-F238E27FC236}">
              <a16:creationId xmlns:a16="http://schemas.microsoft.com/office/drawing/2014/main" id="{30871197-22A1-485E-BB8B-22CC7D718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" y="6760714"/>
          <a:ext cx="986790" cy="237476"/>
        </a:xfrm>
        <a:prstGeom prst="rect">
          <a:avLst/>
        </a:prstGeom>
      </xdr:spPr>
    </xdr:pic>
    <xdr:clientData/>
  </xdr:oneCellAnchor>
  <xdr:oneCellAnchor>
    <xdr:from>
      <xdr:col>0</xdr:col>
      <xdr:colOff>74023</xdr:colOff>
      <xdr:row>46</xdr:row>
      <xdr:rowOff>43543</xdr:rowOff>
    </xdr:from>
    <xdr:ext cx="944880" cy="203674"/>
    <xdr:pic>
      <xdr:nvPicPr>
        <xdr:cNvPr id="7" name="Grafik 6">
          <a:extLst>
            <a:ext uri="{FF2B5EF4-FFF2-40B4-BE49-F238E27FC236}">
              <a16:creationId xmlns:a16="http://schemas.microsoft.com/office/drawing/2014/main" id="{797610DA-914E-424C-BD9D-714F1FB10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023" y="9027886"/>
          <a:ext cx="944880" cy="20367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</xdr:row>
      <xdr:rowOff>90236</xdr:rowOff>
    </xdr:from>
    <xdr:ext cx="1036320" cy="276947"/>
    <xdr:pic>
      <xdr:nvPicPr>
        <xdr:cNvPr id="8" name="Grafik 7">
          <a:extLst>
            <a:ext uri="{FF2B5EF4-FFF2-40B4-BE49-F238E27FC236}">
              <a16:creationId xmlns:a16="http://schemas.microsoft.com/office/drawing/2014/main" id="{504665B6-4845-4C9C-9A10-334CFAF79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388950"/>
          <a:ext cx="1036320" cy="276947"/>
        </a:xfrm>
        <a:prstGeom prst="rect">
          <a:avLst/>
        </a:prstGeom>
      </xdr:spPr>
    </xdr:pic>
    <xdr:clientData/>
  </xdr:oneCellAnchor>
  <xdr:oneCellAnchor>
    <xdr:from>
      <xdr:col>0</xdr:col>
      <xdr:colOff>68580</xdr:colOff>
      <xdr:row>74</xdr:row>
      <xdr:rowOff>105048</xdr:rowOff>
    </xdr:from>
    <xdr:ext cx="922020" cy="252943"/>
    <xdr:pic>
      <xdr:nvPicPr>
        <xdr:cNvPr id="9" name="Grafik 8">
          <a:extLst>
            <a:ext uri="{FF2B5EF4-FFF2-40B4-BE49-F238E27FC236}">
              <a16:creationId xmlns:a16="http://schemas.microsoft.com/office/drawing/2014/main" id="{F6468D9A-A9B7-4BF9-AB7B-926FD84C4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" y="12906648"/>
          <a:ext cx="922020" cy="252943"/>
        </a:xfrm>
        <a:prstGeom prst="rect">
          <a:avLst/>
        </a:prstGeom>
      </xdr:spPr>
    </xdr:pic>
    <xdr:clientData/>
  </xdr:oneCellAnchor>
  <xdr:oneCellAnchor>
    <xdr:from>
      <xdr:col>0</xdr:col>
      <xdr:colOff>59629</xdr:colOff>
      <xdr:row>64</xdr:row>
      <xdr:rowOff>33866</xdr:rowOff>
    </xdr:from>
    <xdr:ext cx="916069" cy="251311"/>
    <xdr:pic>
      <xdr:nvPicPr>
        <xdr:cNvPr id="10" name="Grafik 9">
          <a:extLst>
            <a:ext uri="{FF2B5EF4-FFF2-40B4-BE49-F238E27FC236}">
              <a16:creationId xmlns:a16="http://schemas.microsoft.com/office/drawing/2014/main" id="{292D0F93-BD7D-40BE-9102-DFCE42249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629" y="11669485"/>
          <a:ext cx="916069" cy="251311"/>
        </a:xfrm>
        <a:prstGeom prst="rect">
          <a:avLst/>
        </a:prstGeom>
      </xdr:spPr>
    </xdr:pic>
    <xdr:clientData/>
  </xdr:oneCellAnchor>
  <xdr:oneCellAnchor>
    <xdr:from>
      <xdr:col>15</xdr:col>
      <xdr:colOff>441960</xdr:colOff>
      <xdr:row>19</xdr:row>
      <xdr:rowOff>116630</xdr:rowOff>
    </xdr:from>
    <xdr:ext cx="4549140" cy="1666450"/>
    <xdr:pic>
      <xdr:nvPicPr>
        <xdr:cNvPr id="11" name="Grafik 10">
          <a:extLst>
            <a:ext uri="{FF2B5EF4-FFF2-40B4-BE49-F238E27FC236}">
              <a16:creationId xmlns:a16="http://schemas.microsoft.com/office/drawing/2014/main" id="{CDC2D07F-539F-4FE3-AF6D-F32A9A9CB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440" y="4353350"/>
          <a:ext cx="4549140" cy="166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45720</xdr:colOff>
      <xdr:row>89</xdr:row>
      <xdr:rowOff>30042</xdr:rowOff>
    </xdr:from>
    <xdr:ext cx="1071358" cy="213797"/>
    <xdr:pic>
      <xdr:nvPicPr>
        <xdr:cNvPr id="12" name="Grafik 11">
          <a:extLst>
            <a:ext uri="{FF2B5EF4-FFF2-40B4-BE49-F238E27FC236}">
              <a16:creationId xmlns:a16="http://schemas.microsoft.com/office/drawing/2014/main" id="{E3CE3323-AD5B-4694-8BBE-5E47D1288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" y="15041442"/>
          <a:ext cx="1071358" cy="213797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40</xdr:row>
      <xdr:rowOff>22860</xdr:rowOff>
    </xdr:from>
    <xdr:ext cx="986790" cy="237476"/>
    <xdr:pic>
      <xdr:nvPicPr>
        <xdr:cNvPr id="13" name="Grafik 12">
          <a:extLst>
            <a:ext uri="{FF2B5EF4-FFF2-40B4-BE49-F238E27FC236}">
              <a16:creationId xmlns:a16="http://schemas.microsoft.com/office/drawing/2014/main" id="{CE24E3BE-1E43-4AC8-9F4F-9966E386B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8252460"/>
          <a:ext cx="986790" cy="237476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52</xdr:row>
      <xdr:rowOff>98922</xdr:rowOff>
    </xdr:from>
    <xdr:ext cx="1097280" cy="274320"/>
    <xdr:pic>
      <xdr:nvPicPr>
        <xdr:cNvPr id="14" name="Grafik 13">
          <a:extLst>
            <a:ext uri="{FF2B5EF4-FFF2-40B4-BE49-F238E27FC236}">
              <a16:creationId xmlns:a16="http://schemas.microsoft.com/office/drawing/2014/main" id="{A9464402-1A00-44C1-84D3-EB930FD21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" y="10157322"/>
          <a:ext cx="1097280" cy="274320"/>
        </a:xfrm>
        <a:prstGeom prst="rect">
          <a:avLst/>
        </a:prstGeom>
      </xdr:spPr>
    </xdr:pic>
    <xdr:clientData/>
  </xdr:oneCellAnchor>
  <xdr:oneCellAnchor>
    <xdr:from>
      <xdr:col>16</xdr:col>
      <xdr:colOff>141876</xdr:colOff>
      <xdr:row>4</xdr:row>
      <xdr:rowOff>31931</xdr:rowOff>
    </xdr:from>
    <xdr:ext cx="800100" cy="3886200"/>
    <xdr:pic>
      <xdr:nvPicPr>
        <xdr:cNvPr id="15" name="Grafik 14">
          <a:extLst>
            <a:ext uri="{FF2B5EF4-FFF2-40B4-BE49-F238E27FC236}">
              <a16:creationId xmlns:a16="http://schemas.microsoft.com/office/drawing/2014/main" id="{529D2E88-2041-49FA-9ECF-B43D9ADE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0905" y="808445"/>
          <a:ext cx="80010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273232</xdr:colOff>
      <xdr:row>3</xdr:row>
      <xdr:rowOff>155304</xdr:rowOff>
    </xdr:from>
    <xdr:ext cx="678180" cy="3886200"/>
    <xdr:pic>
      <xdr:nvPicPr>
        <xdr:cNvPr id="16" name="Grafik 15">
          <a:extLst>
            <a:ext uri="{FF2B5EF4-FFF2-40B4-BE49-F238E27FC236}">
              <a16:creationId xmlns:a16="http://schemas.microsoft.com/office/drawing/2014/main" id="{D65C15DD-0588-4ABA-9533-6FA0FC6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8603" y="764904"/>
          <a:ext cx="6781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156392</xdr:colOff>
      <xdr:row>6</xdr:row>
      <xdr:rowOff>419307</xdr:rowOff>
    </xdr:from>
    <xdr:ext cx="289560" cy="372809"/>
    <xdr:pic>
      <xdr:nvPicPr>
        <xdr:cNvPr id="17" name="Grafik 16">
          <a:extLst>
            <a:ext uri="{FF2B5EF4-FFF2-40B4-BE49-F238E27FC236}">
              <a16:creationId xmlns:a16="http://schemas.microsoft.com/office/drawing/2014/main" id="{41B914ED-F67F-4A60-BBC4-B11A7008D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4172" y="1851867"/>
          <a:ext cx="289560" cy="37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302260</xdr:colOff>
      <xdr:row>3</xdr:row>
      <xdr:rowOff>163648</xdr:rowOff>
    </xdr:from>
    <xdr:ext cx="739140" cy="3886200"/>
    <xdr:pic>
      <xdr:nvPicPr>
        <xdr:cNvPr id="18" name="Grafik 17">
          <a:extLst>
            <a:ext uri="{FF2B5EF4-FFF2-40B4-BE49-F238E27FC236}">
              <a16:creationId xmlns:a16="http://schemas.microsoft.com/office/drawing/2014/main" id="{36B9C25B-9B1F-4C88-942C-3D57554C4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9460" y="773248"/>
          <a:ext cx="73914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106680</xdr:colOff>
      <xdr:row>6</xdr:row>
      <xdr:rowOff>293332</xdr:rowOff>
    </xdr:from>
    <xdr:ext cx="381000" cy="506767"/>
    <xdr:pic>
      <xdr:nvPicPr>
        <xdr:cNvPr id="21" name="Grafik 20">
          <a:extLst>
            <a:ext uri="{FF2B5EF4-FFF2-40B4-BE49-F238E27FC236}">
              <a16:creationId xmlns:a16="http://schemas.microsoft.com/office/drawing/2014/main" id="{27D993B6-A875-4F48-95BA-F4206F4A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" y="1725892"/>
          <a:ext cx="381000" cy="50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45721</xdr:colOff>
      <xdr:row>6</xdr:row>
      <xdr:rowOff>284852</xdr:rowOff>
    </xdr:from>
    <xdr:ext cx="342900" cy="507627"/>
    <xdr:pic>
      <xdr:nvPicPr>
        <xdr:cNvPr id="22" name="Grafik 21">
          <a:extLst>
            <a:ext uri="{FF2B5EF4-FFF2-40B4-BE49-F238E27FC236}">
              <a16:creationId xmlns:a16="http://schemas.microsoft.com/office/drawing/2014/main" id="{3ED42BF3-549C-4D82-9B9D-0C4B0EBD0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1" y="1717412"/>
          <a:ext cx="342900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167640</xdr:colOff>
      <xdr:row>6</xdr:row>
      <xdr:rowOff>312420</xdr:rowOff>
    </xdr:from>
    <xdr:ext cx="429405" cy="464820"/>
    <xdr:pic>
      <xdr:nvPicPr>
        <xdr:cNvPr id="23" name="Grafik 22">
          <a:extLst>
            <a:ext uri="{FF2B5EF4-FFF2-40B4-BE49-F238E27FC236}">
              <a16:creationId xmlns:a16="http://schemas.microsoft.com/office/drawing/2014/main" id="{5FB20CA7-9610-4CF0-8880-46DD5BAC3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980" y="1744980"/>
          <a:ext cx="429405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107950</xdr:colOff>
      <xdr:row>5</xdr:row>
      <xdr:rowOff>518160</xdr:rowOff>
    </xdr:from>
    <xdr:to>
      <xdr:col>0</xdr:col>
      <xdr:colOff>1233890</xdr:colOff>
      <xdr:row>6</xdr:row>
      <xdr:rowOff>727502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97A5190-46F3-4CE2-843A-FC61858D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417320"/>
          <a:ext cx="1125940" cy="742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155838</xdr:colOff>
      <xdr:row>6</xdr:row>
      <xdr:rowOff>268514</xdr:rowOff>
    </xdr:from>
    <xdr:to>
      <xdr:col>5</xdr:col>
      <xdr:colOff>69</xdr:colOff>
      <xdr:row>7</xdr:row>
      <xdr:rowOff>211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8176E319-1274-4605-BB85-5BABB8B02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295" y="1698171"/>
          <a:ext cx="475602" cy="577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126810</xdr:colOff>
      <xdr:row>6</xdr:row>
      <xdr:rowOff>283028</xdr:rowOff>
    </xdr:from>
    <xdr:to>
      <xdr:col>3</xdr:col>
      <xdr:colOff>453932</xdr:colOff>
      <xdr:row>6</xdr:row>
      <xdr:rowOff>812799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3EC3A593-4315-431F-A63D-1383C5939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7667" y="1712685"/>
          <a:ext cx="327122" cy="52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267255</xdr:colOff>
      <xdr:row>6</xdr:row>
      <xdr:rowOff>296378</xdr:rowOff>
    </xdr:from>
    <xdr:to>
      <xdr:col>5</xdr:col>
      <xdr:colOff>535108</xdr:colOff>
      <xdr:row>6</xdr:row>
      <xdr:rowOff>802105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EA3222BC-4BF8-4FF2-BEB0-2E6D4242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235" y="1728938"/>
          <a:ext cx="267853" cy="505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uerth.de/web/media/downloads/pdf/Befestigung_von_Fassaden_mit_ASSY_Holzbauschrauben_2019-04-01_DE.pdf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wuerth.de/web/media/downloads/pdf/Befestigung_von_Fassaden_mit_ASSY_Holzbauschrauben_2019-04-01_DE.pdf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wuerth.de/web/media/downloads/pdf/Befestigung_von_Fassaden_mit_ASSY_Holzbauschrauben_2019-04-01_DE.pdf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wuerth.de/web/media/downloads/pdf/Befestigung_von_Fassaden_mit_ASSY_Holzbauschrauben_2019-04-01_DE.pdf" TargetMode="Externa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785F-FF35-438C-A0BC-095864019B95}">
  <sheetPr codeName="Tabelle1"/>
  <dimension ref="A1:Q238"/>
  <sheetViews>
    <sheetView showGridLines="0" zoomScaleNormal="100" zoomScalePageLayoutView="110" workbookViewId="0">
      <selection activeCell="A27" sqref="A27"/>
    </sheetView>
  </sheetViews>
  <sheetFormatPr baseColWidth="10" defaultColWidth="10.88671875" defaultRowHeight="10.199999999999999" x14ac:dyDescent="0.3"/>
  <cols>
    <col min="1" max="1" width="20.21875" style="20" customWidth="1"/>
    <col min="2" max="2" width="14.88671875" style="20" customWidth="1"/>
    <col min="3" max="3" width="10.77734375" style="20" customWidth="1"/>
    <col min="4" max="4" width="11" style="20" customWidth="1"/>
    <col min="5" max="5" width="13.109375" style="20" customWidth="1"/>
    <col min="6" max="6" width="14.77734375" style="20" customWidth="1"/>
    <col min="7" max="7" width="13.6640625" style="20" customWidth="1"/>
    <col min="8" max="8" width="14.6640625" style="20" customWidth="1"/>
    <col min="9" max="9" width="10.88671875" style="20"/>
    <col min="10" max="10" width="3.77734375" style="20" customWidth="1"/>
    <col min="11" max="16384" width="10.88671875" style="20"/>
  </cols>
  <sheetData>
    <row r="1" spans="1:17" ht="27" customHeight="1" x14ac:dyDescent="0.3">
      <c r="A1" s="615" t="s">
        <v>68</v>
      </c>
      <c r="B1" s="427" t="s">
        <v>450</v>
      </c>
      <c r="C1" s="428"/>
      <c r="D1" s="615" t="s">
        <v>1</v>
      </c>
      <c r="E1" s="429" t="s">
        <v>449</v>
      </c>
      <c r="F1" s="430"/>
      <c r="G1" s="430"/>
      <c r="H1" s="615" t="s">
        <v>69</v>
      </c>
      <c r="I1" s="821">
        <v>45049</v>
      </c>
      <c r="J1" s="430"/>
    </row>
    <row r="2" spans="1:17" ht="9.4499999999999993" customHeight="1" x14ac:dyDescent="0.3"/>
    <row r="3" spans="1:17" ht="15" customHeight="1" x14ac:dyDescent="0.3">
      <c r="A3" s="62" t="s">
        <v>311</v>
      </c>
      <c r="B3" s="431" t="s">
        <v>448</v>
      </c>
      <c r="C3" s="432"/>
      <c r="D3" s="432"/>
      <c r="E3" s="432"/>
      <c r="F3" s="432"/>
      <c r="G3" s="432"/>
      <c r="H3" s="432"/>
      <c r="I3" s="432"/>
    </row>
    <row r="4" spans="1:17" ht="13.5" customHeight="1" x14ac:dyDescent="0.3">
      <c r="A4" s="21" t="s">
        <v>67</v>
      </c>
      <c r="L4" s="22" t="s">
        <v>75</v>
      </c>
    </row>
    <row r="5" spans="1:17" ht="13.95" customHeight="1" x14ac:dyDescent="0.3">
      <c r="A5" s="339" t="s">
        <v>299</v>
      </c>
      <c r="L5" s="291" t="s">
        <v>312</v>
      </c>
    </row>
    <row r="7" spans="1:17" s="35" customFormat="1" ht="66.599999999999994" customHeight="1" x14ac:dyDescent="0.2">
      <c r="A7" s="76"/>
      <c r="B7" s="77" t="s">
        <v>418</v>
      </c>
      <c r="C7" s="77" t="s">
        <v>275</v>
      </c>
      <c r="D7" s="77" t="s">
        <v>274</v>
      </c>
      <c r="E7" s="77" t="s">
        <v>313</v>
      </c>
      <c r="F7" s="77" t="s">
        <v>276</v>
      </c>
      <c r="G7" s="77" t="s">
        <v>318</v>
      </c>
      <c r="H7" s="77" t="s">
        <v>319</v>
      </c>
      <c r="I7" s="77" t="s">
        <v>314</v>
      </c>
      <c r="L7" s="221" t="s">
        <v>376</v>
      </c>
    </row>
    <row r="8" spans="1:17" x14ac:dyDescent="0.3">
      <c r="A8" s="658" t="s">
        <v>70</v>
      </c>
      <c r="B8" s="24">
        <v>2</v>
      </c>
      <c r="C8" s="25">
        <v>14.5</v>
      </c>
      <c r="D8" s="24">
        <v>6</v>
      </c>
      <c r="E8" s="24">
        <v>2</v>
      </c>
      <c r="F8" s="24">
        <v>50</v>
      </c>
      <c r="G8" s="26">
        <v>400</v>
      </c>
      <c r="H8" s="26">
        <v>300</v>
      </c>
      <c r="I8" s="27">
        <f t="shared" ref="I8:I12" si="0">H8/100*((100/C8)+D8/100)*((100/F8*G8/100)+1+E8-1)*B8</f>
        <v>417.39310344827578</v>
      </c>
      <c r="L8" s="387" t="s">
        <v>378</v>
      </c>
      <c r="M8" s="388"/>
      <c r="N8" s="388"/>
      <c r="O8" s="388"/>
      <c r="P8" s="388"/>
    </row>
    <row r="9" spans="1:17" x14ac:dyDescent="0.3">
      <c r="A9" s="658" t="s">
        <v>80</v>
      </c>
      <c r="B9" s="24">
        <v>2</v>
      </c>
      <c r="C9" s="25">
        <v>0.01</v>
      </c>
      <c r="D9" s="24">
        <v>0</v>
      </c>
      <c r="E9" s="24">
        <v>0</v>
      </c>
      <c r="F9" s="24">
        <v>50</v>
      </c>
      <c r="G9" s="26">
        <v>0</v>
      </c>
      <c r="H9" s="26">
        <v>0</v>
      </c>
      <c r="I9" s="27">
        <f>H9/100*((100/C9)+D9/100)*((100/F9*G9/100)+1+E9-1)*B9</f>
        <v>0</v>
      </c>
      <c r="L9" s="388"/>
      <c r="M9" s="388"/>
      <c r="N9" s="388"/>
      <c r="O9" s="388"/>
      <c r="P9" s="388"/>
    </row>
    <row r="10" spans="1:17" x14ac:dyDescent="0.3">
      <c r="A10" s="658" t="s">
        <v>71</v>
      </c>
      <c r="B10" s="24">
        <v>2</v>
      </c>
      <c r="C10" s="25">
        <v>0.01</v>
      </c>
      <c r="D10" s="24">
        <v>0</v>
      </c>
      <c r="E10" s="24">
        <v>0</v>
      </c>
      <c r="F10" s="24">
        <v>50</v>
      </c>
      <c r="G10" s="26">
        <v>0</v>
      </c>
      <c r="H10" s="26">
        <v>0</v>
      </c>
      <c r="I10" s="27">
        <f>H10/100*((100/C10)+D10/100)*((100/F10*G10/100)+1+E10-1)*B10</f>
        <v>0</v>
      </c>
      <c r="L10" s="388"/>
      <c r="M10" s="388"/>
      <c r="N10" s="388"/>
      <c r="O10" s="388"/>
      <c r="P10" s="388"/>
    </row>
    <row r="11" spans="1:17" x14ac:dyDescent="0.3">
      <c r="A11" s="658" t="s">
        <v>81</v>
      </c>
      <c r="B11" s="24">
        <v>2</v>
      </c>
      <c r="C11" s="25">
        <v>0.01</v>
      </c>
      <c r="D11" s="24">
        <v>0</v>
      </c>
      <c r="E11" s="24">
        <v>0</v>
      </c>
      <c r="F11" s="24">
        <v>50</v>
      </c>
      <c r="G11" s="26">
        <v>0</v>
      </c>
      <c r="H11" s="26">
        <v>0</v>
      </c>
      <c r="I11" s="27">
        <f t="shared" si="0"/>
        <v>0</v>
      </c>
    </row>
    <row r="12" spans="1:17" ht="11.4" x14ac:dyDescent="0.3">
      <c r="A12" s="658" t="s">
        <v>82</v>
      </c>
      <c r="B12" s="24">
        <v>2</v>
      </c>
      <c r="C12" s="25">
        <v>0.01</v>
      </c>
      <c r="D12" s="24">
        <v>0</v>
      </c>
      <c r="E12" s="24">
        <v>0</v>
      </c>
      <c r="F12" s="24">
        <v>50</v>
      </c>
      <c r="G12" s="26">
        <v>0</v>
      </c>
      <c r="H12" s="26">
        <v>0</v>
      </c>
      <c r="I12" s="27">
        <f t="shared" si="0"/>
        <v>0</v>
      </c>
      <c r="K12" s="290" t="s">
        <v>374</v>
      </c>
      <c r="L12" s="425" t="s">
        <v>375</v>
      </c>
      <c r="M12" s="426"/>
      <c r="N12" s="426"/>
      <c r="O12" s="426"/>
      <c r="P12" s="426"/>
      <c r="Q12" s="426"/>
    </row>
    <row r="13" spans="1:17" ht="10.8" thickBot="1" x14ac:dyDescent="0.35">
      <c r="A13" s="659"/>
      <c r="B13" s="29"/>
      <c r="C13" s="28"/>
      <c r="D13" s="29"/>
      <c r="E13" s="29"/>
      <c r="F13" s="29"/>
      <c r="G13" s="28"/>
      <c r="H13" s="30" t="s">
        <v>300</v>
      </c>
      <c r="I13" s="31">
        <f>SUM(I8:I12)</f>
        <v>417.39310344827578</v>
      </c>
      <c r="L13" s="426"/>
      <c r="M13" s="426"/>
      <c r="N13" s="426"/>
      <c r="O13" s="426"/>
      <c r="P13" s="426"/>
      <c r="Q13" s="426"/>
    </row>
    <row r="14" spans="1:17" ht="11.4" x14ac:dyDescent="0.3">
      <c r="A14" s="658" t="s">
        <v>72</v>
      </c>
      <c r="B14" s="24">
        <v>2</v>
      </c>
      <c r="C14" s="25">
        <v>14.5</v>
      </c>
      <c r="D14" s="24">
        <v>6</v>
      </c>
      <c r="E14" s="24">
        <v>2</v>
      </c>
      <c r="F14" s="24">
        <v>50</v>
      </c>
      <c r="G14" s="26">
        <v>0</v>
      </c>
      <c r="H14" s="26">
        <v>0</v>
      </c>
      <c r="I14" s="27">
        <f>(H14/100*((100/C14)+D14/100)*((100/F14*G14/100)+1+E14-1)*B14)/2</f>
        <v>0</v>
      </c>
      <c r="K14" s="290" t="s">
        <v>377</v>
      </c>
      <c r="L14" s="425" t="s">
        <v>417</v>
      </c>
      <c r="M14" s="426"/>
      <c r="N14" s="426"/>
      <c r="O14" s="426"/>
      <c r="P14" s="426"/>
    </row>
    <row r="15" spans="1:17" x14ac:dyDescent="0.3">
      <c r="A15" s="658" t="s">
        <v>73</v>
      </c>
      <c r="B15" s="24">
        <v>2</v>
      </c>
      <c r="C15" s="25">
        <v>0.01</v>
      </c>
      <c r="D15" s="24">
        <v>0</v>
      </c>
      <c r="E15" s="24">
        <v>0</v>
      </c>
      <c r="F15" s="24">
        <v>50</v>
      </c>
      <c r="G15" s="26">
        <v>0</v>
      </c>
      <c r="H15" s="26">
        <v>0</v>
      </c>
      <c r="I15" s="27">
        <f>(H15/100*((100/C15)+D15/100)*((100/F15*G15/100)+1+E15-1)*B15)/2</f>
        <v>0</v>
      </c>
      <c r="L15" s="426"/>
      <c r="M15" s="426"/>
      <c r="N15" s="426"/>
      <c r="O15" s="426"/>
      <c r="P15" s="426"/>
    </row>
    <row r="16" spans="1:17" x14ac:dyDescent="0.3">
      <c r="A16" s="658" t="s">
        <v>74</v>
      </c>
      <c r="B16" s="24">
        <v>2</v>
      </c>
      <c r="C16" s="25">
        <v>0.01</v>
      </c>
      <c r="D16" s="24">
        <v>0</v>
      </c>
      <c r="E16" s="24">
        <v>0</v>
      </c>
      <c r="F16" s="24">
        <v>50</v>
      </c>
      <c r="G16" s="26">
        <v>0</v>
      </c>
      <c r="H16" s="26">
        <v>0</v>
      </c>
      <c r="I16" s="27">
        <f>(H16/100*((100/C16)+D16/100)*((100/F16*G16/100)+1+E16-1)*B16)/2</f>
        <v>0</v>
      </c>
      <c r="L16" s="426"/>
      <c r="M16" s="426"/>
      <c r="N16" s="426"/>
      <c r="O16" s="426"/>
      <c r="P16" s="426"/>
    </row>
    <row r="17" spans="1:16" x14ac:dyDescent="0.3">
      <c r="A17" s="658" t="s">
        <v>265</v>
      </c>
      <c r="B17" s="24">
        <v>2</v>
      </c>
      <c r="C17" s="25">
        <v>0.01</v>
      </c>
      <c r="D17" s="24">
        <v>0</v>
      </c>
      <c r="E17" s="24">
        <v>0</v>
      </c>
      <c r="F17" s="24">
        <v>50</v>
      </c>
      <c r="G17" s="26">
        <v>0</v>
      </c>
      <c r="H17" s="26">
        <v>0</v>
      </c>
      <c r="I17" s="27">
        <f>(H17/100*((100/C17)+D17/100)*((100/F17*G17/100)+1+E17-1)*B17)/2</f>
        <v>0</v>
      </c>
      <c r="L17" s="426"/>
      <c r="M17" s="426"/>
      <c r="N17" s="426"/>
      <c r="O17" s="426"/>
      <c r="P17" s="426"/>
    </row>
    <row r="18" spans="1:16" ht="10.8" thickBot="1" x14ac:dyDescent="0.35">
      <c r="A18" s="659"/>
      <c r="B18" s="32"/>
      <c r="C18" s="32"/>
      <c r="D18" s="32"/>
      <c r="E18" s="32"/>
      <c r="F18" s="32"/>
      <c r="G18" s="32"/>
      <c r="H18" s="30" t="s">
        <v>278</v>
      </c>
      <c r="I18" s="33">
        <f>SUM(I14:I17)</f>
        <v>0</v>
      </c>
    </row>
    <row r="19" spans="1:16" ht="13.95" customHeight="1" thickBot="1" x14ac:dyDescent="0.35">
      <c r="A19" s="659"/>
      <c r="B19" s="36" t="s">
        <v>298</v>
      </c>
      <c r="C19" s="75" t="s">
        <v>305</v>
      </c>
      <c r="D19" s="75" t="s">
        <v>310</v>
      </c>
      <c r="H19" s="282" t="s">
        <v>76</v>
      </c>
      <c r="I19" s="48">
        <f>SUM(I18,I13)</f>
        <v>417.39310344827578</v>
      </c>
    </row>
    <row r="20" spans="1:16" ht="13.95" customHeight="1" x14ac:dyDescent="0.3">
      <c r="A20" s="658" t="s">
        <v>287</v>
      </c>
      <c r="B20" s="26">
        <v>25</v>
      </c>
      <c r="C20" s="26">
        <v>80</v>
      </c>
      <c r="D20" s="26">
        <v>8</v>
      </c>
      <c r="F20" s="23"/>
    </row>
    <row r="21" spans="1:16" ht="13.95" customHeight="1" x14ac:dyDescent="0.3">
      <c r="A21" s="659"/>
      <c r="F21" s="414" t="s">
        <v>301</v>
      </c>
    </row>
    <row r="22" spans="1:16" s="21" customFormat="1" ht="13.95" customHeight="1" x14ac:dyDescent="0.3">
      <c r="A22" s="660" t="s">
        <v>451</v>
      </c>
      <c r="B22" s="414" t="s">
        <v>2</v>
      </c>
      <c r="C22" s="414"/>
      <c r="D22" s="414"/>
      <c r="E22" s="287" t="s">
        <v>77</v>
      </c>
      <c r="F22" s="414"/>
      <c r="G22" s="288" t="s">
        <v>302</v>
      </c>
      <c r="H22" s="289" t="s">
        <v>78</v>
      </c>
    </row>
    <row r="23" spans="1:16" ht="13.95" customHeight="1" x14ac:dyDescent="0.3">
      <c r="A23" s="219"/>
      <c r="B23" s="433"/>
      <c r="C23" s="434"/>
      <c r="D23" s="435"/>
      <c r="E23" s="616"/>
      <c r="F23" s="10"/>
      <c r="G23" s="11"/>
      <c r="H23" s="176"/>
    </row>
    <row r="24" spans="1:16" ht="46.2" customHeight="1" x14ac:dyDescent="0.3">
      <c r="A24" s="34"/>
      <c r="B24" s="12"/>
      <c r="C24" s="13"/>
      <c r="D24" s="13"/>
      <c r="E24" s="14"/>
      <c r="F24" s="14"/>
      <c r="G24" s="14"/>
    </row>
    <row r="25" spans="1:16" ht="13.95" customHeight="1" thickBot="1" x14ac:dyDescent="0.35"/>
    <row r="26" spans="1:16" s="21" customFormat="1" ht="26.4" customHeight="1" thickBot="1" x14ac:dyDescent="0.35">
      <c r="A26" s="356"/>
      <c r="B26" s="436" t="s">
        <v>2</v>
      </c>
      <c r="C26" s="437"/>
      <c r="D26" s="437"/>
      <c r="E26" s="49" t="s">
        <v>3</v>
      </c>
      <c r="F26" s="50" t="s">
        <v>301</v>
      </c>
      <c r="G26" s="52" t="s">
        <v>309</v>
      </c>
      <c r="H26" s="50" t="s">
        <v>394</v>
      </c>
      <c r="I26" s="53" t="s">
        <v>79</v>
      </c>
    </row>
    <row r="27" spans="1:16" ht="12" customHeight="1" x14ac:dyDescent="0.3">
      <c r="A27" s="822" t="s">
        <v>4</v>
      </c>
      <c r="B27" s="405" t="s">
        <v>6</v>
      </c>
      <c r="C27" s="406"/>
      <c r="D27" s="407"/>
      <c r="E27" s="625" t="s">
        <v>7</v>
      </c>
      <c r="F27" s="39">
        <f>40-18-4.5</f>
        <v>17.5</v>
      </c>
      <c r="G27" s="635">
        <v>40</v>
      </c>
      <c r="H27" s="40">
        <v>250</v>
      </c>
      <c r="I27" s="283">
        <f t="shared" ref="I27:I44" si="1">ROUNDUP(($I$19/H27),0)</f>
        <v>2</v>
      </c>
      <c r="K27" s="389" t="s">
        <v>294</v>
      </c>
      <c r="L27" s="390"/>
    </row>
    <row r="28" spans="1:16" ht="12" customHeight="1" x14ac:dyDescent="0.3">
      <c r="A28" s="822"/>
      <c r="B28" s="396" t="s">
        <v>5</v>
      </c>
      <c r="C28" s="397"/>
      <c r="D28" s="398"/>
      <c r="E28" s="616">
        <v>166815545</v>
      </c>
      <c r="F28" s="10">
        <f>45-23-4.5</f>
        <v>17.5</v>
      </c>
      <c r="G28" s="633">
        <v>45</v>
      </c>
      <c r="H28" s="11">
        <v>250</v>
      </c>
      <c r="I28" s="284">
        <f t="shared" si="1"/>
        <v>2</v>
      </c>
      <c r="K28" s="391"/>
      <c r="L28" s="391"/>
    </row>
    <row r="29" spans="1:16" ht="12" customHeight="1" x14ac:dyDescent="0.3">
      <c r="A29" s="822"/>
      <c r="B29" s="396" t="s">
        <v>8</v>
      </c>
      <c r="C29" s="397"/>
      <c r="D29" s="398"/>
      <c r="E29" s="616" t="s">
        <v>9</v>
      </c>
      <c r="F29" s="10">
        <f>50-23-4.5</f>
        <v>22.5</v>
      </c>
      <c r="G29" s="633">
        <v>50</v>
      </c>
      <c r="H29" s="11">
        <v>250</v>
      </c>
      <c r="I29" s="284">
        <f t="shared" si="1"/>
        <v>2</v>
      </c>
      <c r="K29" s="392" t="s">
        <v>296</v>
      </c>
      <c r="L29" s="393"/>
    </row>
    <row r="30" spans="1:16" ht="12" customHeight="1" x14ac:dyDescent="0.3">
      <c r="A30" s="822"/>
      <c r="B30" s="396" t="s">
        <v>10</v>
      </c>
      <c r="C30" s="397"/>
      <c r="D30" s="398"/>
      <c r="E30" s="616" t="s">
        <v>11</v>
      </c>
      <c r="F30" s="10">
        <f>60-33-4.5</f>
        <v>22.5</v>
      </c>
      <c r="G30" s="633">
        <v>60</v>
      </c>
      <c r="H30" s="11">
        <v>250</v>
      </c>
      <c r="I30" s="284">
        <f t="shared" si="1"/>
        <v>2</v>
      </c>
    </row>
    <row r="31" spans="1:16" ht="12" customHeight="1" x14ac:dyDescent="0.3">
      <c r="A31" s="823" t="s">
        <v>315</v>
      </c>
      <c r="B31" s="396" t="s">
        <v>12</v>
      </c>
      <c r="C31" s="397"/>
      <c r="D31" s="398"/>
      <c r="E31" s="616" t="s">
        <v>13</v>
      </c>
      <c r="F31" s="10">
        <f>70-33-4.5</f>
        <v>32.5</v>
      </c>
      <c r="G31" s="633">
        <v>70</v>
      </c>
      <c r="H31" s="11">
        <v>250</v>
      </c>
      <c r="I31" s="284">
        <f t="shared" si="1"/>
        <v>2</v>
      </c>
      <c r="K31" s="37" t="s">
        <v>308</v>
      </c>
      <c r="L31" s="21"/>
    </row>
    <row r="32" spans="1:16" ht="12" customHeight="1" x14ac:dyDescent="0.3">
      <c r="A32" s="822"/>
      <c r="B32" s="396" t="s">
        <v>14</v>
      </c>
      <c r="C32" s="397"/>
      <c r="D32" s="398"/>
      <c r="E32" s="616" t="s">
        <v>15</v>
      </c>
      <c r="F32" s="10">
        <f>80-38-4.5</f>
        <v>37.5</v>
      </c>
      <c r="G32" s="633">
        <v>80</v>
      </c>
      <c r="H32" s="11">
        <v>200</v>
      </c>
      <c r="I32" s="284">
        <f t="shared" si="1"/>
        <v>3</v>
      </c>
      <c r="K32" s="387" t="s">
        <v>373</v>
      </c>
      <c r="L32" s="388"/>
    </row>
    <row r="33" spans="1:14" ht="12" customHeight="1" x14ac:dyDescent="0.3">
      <c r="A33" s="822"/>
      <c r="B33" s="396" t="s">
        <v>16</v>
      </c>
      <c r="C33" s="397"/>
      <c r="D33" s="398"/>
      <c r="E33" s="616" t="s">
        <v>17</v>
      </c>
      <c r="F33" s="10">
        <f>90-38-4.5</f>
        <v>47.5</v>
      </c>
      <c r="G33" s="633">
        <v>90</v>
      </c>
      <c r="H33" s="11">
        <v>100</v>
      </c>
      <c r="I33" s="284">
        <f t="shared" si="1"/>
        <v>5</v>
      </c>
      <c r="K33" s="388"/>
      <c r="L33" s="388"/>
    </row>
    <row r="34" spans="1:14" ht="12" customHeight="1" thickBot="1" x14ac:dyDescent="0.35">
      <c r="A34" s="824"/>
      <c r="B34" s="399" t="s">
        <v>18</v>
      </c>
      <c r="C34" s="400"/>
      <c r="D34" s="401"/>
      <c r="E34" s="617" t="s">
        <v>19</v>
      </c>
      <c r="F34" s="45">
        <f>100-38-4.5</f>
        <v>57.5</v>
      </c>
      <c r="G34" s="634">
        <v>100</v>
      </c>
      <c r="H34" s="46">
        <v>100</v>
      </c>
      <c r="I34" s="285">
        <f t="shared" si="1"/>
        <v>5</v>
      </c>
      <c r="K34" s="388"/>
      <c r="L34" s="388"/>
    </row>
    <row r="35" spans="1:14" ht="12" customHeight="1" x14ac:dyDescent="0.3">
      <c r="A35" s="202" t="s">
        <v>20</v>
      </c>
      <c r="B35" s="402" t="s">
        <v>21</v>
      </c>
      <c r="C35" s="403"/>
      <c r="D35" s="404"/>
      <c r="E35" s="618" t="s">
        <v>22</v>
      </c>
      <c r="F35" s="41">
        <f>40-18-4.5</f>
        <v>17.5</v>
      </c>
      <c r="G35" s="632">
        <v>40</v>
      </c>
      <c r="H35" s="42">
        <v>250</v>
      </c>
      <c r="I35" s="286">
        <f t="shared" si="1"/>
        <v>2</v>
      </c>
      <c r="K35" s="388"/>
      <c r="L35" s="388"/>
    </row>
    <row r="36" spans="1:14" ht="12" customHeight="1" x14ac:dyDescent="0.3">
      <c r="A36" s="825"/>
      <c r="B36" s="423" t="s">
        <v>24</v>
      </c>
      <c r="C36" s="397"/>
      <c r="D36" s="398"/>
      <c r="E36" s="616">
        <v>169025545</v>
      </c>
      <c r="F36" s="10">
        <f>45-23-4.5</f>
        <v>17.5</v>
      </c>
      <c r="G36" s="633">
        <v>45</v>
      </c>
      <c r="H36" s="11">
        <v>250</v>
      </c>
      <c r="I36" s="284">
        <f t="shared" si="1"/>
        <v>2</v>
      </c>
      <c r="K36" s="388"/>
      <c r="L36" s="388"/>
    </row>
    <row r="37" spans="1:14" ht="12" customHeight="1" x14ac:dyDescent="0.3">
      <c r="A37" s="822"/>
      <c r="B37" s="423" t="s">
        <v>25</v>
      </c>
      <c r="C37" s="397"/>
      <c r="D37" s="398"/>
      <c r="E37" s="616" t="s">
        <v>26</v>
      </c>
      <c r="F37" s="10">
        <f>50-23-4.5</f>
        <v>22.5</v>
      </c>
      <c r="G37" s="633">
        <v>50</v>
      </c>
      <c r="H37" s="11">
        <v>250</v>
      </c>
      <c r="I37" s="284">
        <f t="shared" si="1"/>
        <v>2</v>
      </c>
      <c r="K37" s="388"/>
      <c r="L37" s="388"/>
    </row>
    <row r="38" spans="1:14" ht="12" customHeight="1" x14ac:dyDescent="0.3">
      <c r="A38" s="822"/>
      <c r="B38" s="423" t="s">
        <v>27</v>
      </c>
      <c r="C38" s="397"/>
      <c r="D38" s="398"/>
      <c r="E38" s="616" t="s">
        <v>28</v>
      </c>
      <c r="F38" s="10">
        <f>60-33-4.5</f>
        <v>22.5</v>
      </c>
      <c r="G38" s="633">
        <v>60</v>
      </c>
      <c r="H38" s="11">
        <v>250</v>
      </c>
      <c r="I38" s="284">
        <f t="shared" si="1"/>
        <v>2</v>
      </c>
    </row>
    <row r="39" spans="1:14" ht="12" customHeight="1" x14ac:dyDescent="0.3">
      <c r="A39" s="823" t="s">
        <v>317</v>
      </c>
      <c r="B39" s="423" t="s">
        <v>29</v>
      </c>
      <c r="C39" s="397"/>
      <c r="D39" s="398"/>
      <c r="E39" s="616" t="s">
        <v>30</v>
      </c>
      <c r="F39" s="10">
        <f>70-33-4.5</f>
        <v>32.5</v>
      </c>
      <c r="G39" s="633">
        <v>70</v>
      </c>
      <c r="H39" s="11">
        <v>250</v>
      </c>
      <c r="I39" s="284">
        <f t="shared" si="1"/>
        <v>2</v>
      </c>
      <c r="K39" s="394" t="s">
        <v>395</v>
      </c>
      <c r="L39" s="388"/>
    </row>
    <row r="40" spans="1:14" ht="12" customHeight="1" thickBot="1" x14ac:dyDescent="0.35">
      <c r="A40" s="824"/>
      <c r="B40" s="424" t="s">
        <v>31</v>
      </c>
      <c r="C40" s="400"/>
      <c r="D40" s="401"/>
      <c r="E40" s="617" t="s">
        <v>32</v>
      </c>
      <c r="F40" s="45">
        <f>80-38-4.5</f>
        <v>37.5</v>
      </c>
      <c r="G40" s="634">
        <v>80</v>
      </c>
      <c r="H40" s="46">
        <v>200</v>
      </c>
      <c r="I40" s="285">
        <f t="shared" si="1"/>
        <v>3</v>
      </c>
      <c r="K40" s="388"/>
      <c r="L40" s="388"/>
    </row>
    <row r="41" spans="1:14" ht="12" customHeight="1" x14ac:dyDescent="0.3">
      <c r="A41" s="202" t="s">
        <v>100</v>
      </c>
      <c r="B41" s="421" t="s">
        <v>33</v>
      </c>
      <c r="C41" s="403"/>
      <c r="D41" s="404"/>
      <c r="E41" s="618">
        <v>166825550</v>
      </c>
      <c r="F41" s="41">
        <f>50-18-4.5</f>
        <v>27.5</v>
      </c>
      <c r="G41" s="632">
        <v>50</v>
      </c>
      <c r="H41" s="42">
        <v>250</v>
      </c>
      <c r="I41" s="286">
        <f t="shared" si="1"/>
        <v>2</v>
      </c>
      <c r="K41" s="388"/>
      <c r="L41" s="388"/>
    </row>
    <row r="42" spans="1:14" ht="12" customHeight="1" x14ac:dyDescent="0.3">
      <c r="A42" s="822"/>
      <c r="B42" s="396" t="s">
        <v>34</v>
      </c>
      <c r="C42" s="397"/>
      <c r="D42" s="398"/>
      <c r="E42" s="616">
        <v>166825560</v>
      </c>
      <c r="F42" s="10">
        <f>60-23-4.5</f>
        <v>32.5</v>
      </c>
      <c r="G42" s="633">
        <v>60</v>
      </c>
      <c r="H42" s="11">
        <v>250</v>
      </c>
      <c r="I42" s="284">
        <f t="shared" si="1"/>
        <v>2</v>
      </c>
      <c r="K42" s="388"/>
      <c r="L42" s="388"/>
    </row>
    <row r="43" spans="1:14" ht="12" customHeight="1" x14ac:dyDescent="0.3">
      <c r="A43" s="822"/>
      <c r="B43" s="396" t="s">
        <v>35</v>
      </c>
      <c r="C43" s="397"/>
      <c r="D43" s="398"/>
      <c r="E43" s="616" t="s">
        <v>36</v>
      </c>
      <c r="F43" s="10">
        <f>70-23-4.5</f>
        <v>42.5</v>
      </c>
      <c r="G43" s="633">
        <v>70</v>
      </c>
      <c r="H43" s="11">
        <v>250</v>
      </c>
      <c r="I43" s="284">
        <f t="shared" si="1"/>
        <v>2</v>
      </c>
      <c r="K43" s="388"/>
      <c r="L43" s="388"/>
    </row>
    <row r="44" spans="1:14" ht="12" customHeight="1" thickBot="1" x14ac:dyDescent="0.35">
      <c r="A44" s="826" t="s">
        <v>316</v>
      </c>
      <c r="B44" s="399" t="s">
        <v>37</v>
      </c>
      <c r="C44" s="400"/>
      <c r="D44" s="401"/>
      <c r="E44" s="617" t="s">
        <v>38</v>
      </c>
      <c r="F44" s="45">
        <f>80-33-4.5</f>
        <v>42.5</v>
      </c>
      <c r="G44" s="634">
        <v>80</v>
      </c>
      <c r="H44" s="46">
        <v>200</v>
      </c>
      <c r="I44" s="285">
        <f t="shared" si="1"/>
        <v>3</v>
      </c>
      <c r="K44" s="394" t="s">
        <v>390</v>
      </c>
      <c r="L44" s="395"/>
    </row>
    <row r="45" spans="1:14" ht="3.6" customHeight="1" x14ac:dyDescent="0.3">
      <c r="A45" s="827"/>
      <c r="B45" s="28"/>
      <c r="C45" s="28"/>
      <c r="D45" s="28"/>
      <c r="E45" s="16"/>
      <c r="F45" s="16"/>
      <c r="G45" s="60"/>
      <c r="H45" s="16"/>
      <c r="I45" s="60"/>
      <c r="K45" s="395"/>
      <c r="L45" s="395"/>
    </row>
    <row r="46" spans="1:14" ht="12" customHeight="1" thickBot="1" x14ac:dyDescent="0.35">
      <c r="A46" s="828" t="s">
        <v>39</v>
      </c>
      <c r="B46" s="28"/>
      <c r="C46" s="28"/>
      <c r="D46" s="28"/>
      <c r="E46" s="16"/>
      <c r="F46" s="16"/>
      <c r="G46" s="60"/>
      <c r="H46" s="16"/>
      <c r="I46" s="60"/>
      <c r="K46" s="395"/>
      <c r="L46" s="395"/>
    </row>
    <row r="47" spans="1:14" ht="12" customHeight="1" x14ac:dyDescent="0.3">
      <c r="A47" s="202" t="s">
        <v>303</v>
      </c>
      <c r="B47" s="65" t="s">
        <v>183</v>
      </c>
      <c r="C47" s="66"/>
      <c r="D47" s="67"/>
      <c r="E47" s="619" t="s">
        <v>184</v>
      </c>
      <c r="F47" s="41">
        <f>40-18-3.5</f>
        <v>18.5</v>
      </c>
      <c r="G47" s="632">
        <v>40</v>
      </c>
      <c r="H47" s="42">
        <v>500</v>
      </c>
      <c r="I47" s="286">
        <f t="shared" ref="I47:I58" si="2">ROUNDUP(($I$19/H47),0)</f>
        <v>1</v>
      </c>
      <c r="K47" s="395"/>
      <c r="L47" s="395"/>
      <c r="M47" s="61"/>
      <c r="N47" s="61"/>
    </row>
    <row r="48" spans="1:14" ht="12" customHeight="1" x14ac:dyDescent="0.3">
      <c r="A48" s="829"/>
      <c r="B48" s="68" t="s">
        <v>185</v>
      </c>
      <c r="C48" s="69"/>
      <c r="D48" s="70"/>
      <c r="E48" s="620" t="s">
        <v>186</v>
      </c>
      <c r="F48" s="10">
        <f>45-18-3.5</f>
        <v>23.5</v>
      </c>
      <c r="G48" s="633">
        <v>45</v>
      </c>
      <c r="H48" s="11">
        <v>500</v>
      </c>
      <c r="I48" s="284">
        <f t="shared" si="2"/>
        <v>1</v>
      </c>
      <c r="K48" s="395"/>
      <c r="L48" s="395"/>
      <c r="M48" s="61"/>
      <c r="N48" s="61"/>
    </row>
    <row r="49" spans="1:12" ht="12" customHeight="1" x14ac:dyDescent="0.3">
      <c r="A49" s="829"/>
      <c r="B49" s="68" t="s">
        <v>187</v>
      </c>
      <c r="C49" s="69"/>
      <c r="D49" s="70"/>
      <c r="E49" s="620" t="s">
        <v>188</v>
      </c>
      <c r="F49" s="10">
        <f>50-21-3.5</f>
        <v>25.5</v>
      </c>
      <c r="G49" s="633">
        <v>50</v>
      </c>
      <c r="H49" s="11">
        <v>500</v>
      </c>
      <c r="I49" s="284">
        <f t="shared" si="2"/>
        <v>1</v>
      </c>
      <c r="K49" s="395"/>
      <c r="L49" s="395"/>
    </row>
    <row r="50" spans="1:12" ht="12" customHeight="1" x14ac:dyDescent="0.3">
      <c r="A50" s="830" t="s">
        <v>379</v>
      </c>
      <c r="B50" s="71" t="s">
        <v>189</v>
      </c>
      <c r="C50" s="69"/>
      <c r="D50" s="70"/>
      <c r="E50" s="620" t="s">
        <v>190</v>
      </c>
      <c r="F50" s="10">
        <f>60-24-3.5</f>
        <v>32.5</v>
      </c>
      <c r="G50" s="633">
        <v>60</v>
      </c>
      <c r="H50" s="11">
        <v>250</v>
      </c>
      <c r="I50" s="284">
        <f t="shared" si="2"/>
        <v>2</v>
      </c>
      <c r="K50" s="395"/>
      <c r="L50" s="395"/>
    </row>
    <row r="51" spans="1:12" ht="12" customHeight="1" x14ac:dyDescent="0.3">
      <c r="A51" s="831"/>
      <c r="B51" s="71" t="s">
        <v>191</v>
      </c>
      <c r="C51" s="69"/>
      <c r="D51" s="70"/>
      <c r="E51" s="620" t="s">
        <v>192</v>
      </c>
      <c r="F51" s="10">
        <f>70-24-3.5</f>
        <v>42.5</v>
      </c>
      <c r="G51" s="633">
        <v>70</v>
      </c>
      <c r="H51" s="11">
        <v>200</v>
      </c>
      <c r="I51" s="284">
        <f t="shared" si="2"/>
        <v>3</v>
      </c>
      <c r="K51" s="395"/>
      <c r="L51" s="395"/>
    </row>
    <row r="52" spans="1:12" ht="12" customHeight="1" thickBot="1" x14ac:dyDescent="0.35">
      <c r="A52" s="832"/>
      <c r="B52" s="72" t="s">
        <v>193</v>
      </c>
      <c r="C52" s="73"/>
      <c r="D52" s="74"/>
      <c r="E52" s="621" t="s">
        <v>194</v>
      </c>
      <c r="F52" s="45">
        <f>80-24-3.5</f>
        <v>52.5</v>
      </c>
      <c r="G52" s="634">
        <v>80</v>
      </c>
      <c r="H52" s="46">
        <v>200</v>
      </c>
      <c r="I52" s="285">
        <f t="shared" si="2"/>
        <v>3</v>
      </c>
    </row>
    <row r="53" spans="1:12" ht="12" customHeight="1" x14ac:dyDescent="0.3">
      <c r="A53" s="202" t="s">
        <v>304</v>
      </c>
      <c r="B53" s="422" t="s">
        <v>40</v>
      </c>
      <c r="C53" s="403"/>
      <c r="D53" s="404"/>
      <c r="E53" s="622" t="s">
        <v>41</v>
      </c>
      <c r="F53" s="41">
        <f>40-18-3.5</f>
        <v>18.5</v>
      </c>
      <c r="G53" s="632">
        <v>40</v>
      </c>
      <c r="H53" s="632">
        <v>500</v>
      </c>
      <c r="I53" s="286">
        <f t="shared" si="2"/>
        <v>1</v>
      </c>
    </row>
    <row r="54" spans="1:12" ht="12" customHeight="1" x14ac:dyDescent="0.3">
      <c r="A54" s="822"/>
      <c r="B54" s="418" t="s">
        <v>42</v>
      </c>
      <c r="C54" s="397"/>
      <c r="D54" s="398"/>
      <c r="E54" s="623" t="s">
        <v>43</v>
      </c>
      <c r="F54" s="10">
        <f>45-18-3.5</f>
        <v>23.5</v>
      </c>
      <c r="G54" s="633">
        <v>45</v>
      </c>
      <c r="H54" s="633">
        <v>500</v>
      </c>
      <c r="I54" s="284">
        <f t="shared" si="2"/>
        <v>1</v>
      </c>
    </row>
    <row r="55" spans="1:12" ht="12" customHeight="1" x14ac:dyDescent="0.3">
      <c r="A55" s="822"/>
      <c r="B55" s="419" t="s">
        <v>44</v>
      </c>
      <c r="C55" s="409"/>
      <c r="D55" s="410"/>
      <c r="E55" s="623" t="s">
        <v>45</v>
      </c>
      <c r="F55" s="10">
        <f>50-21-3.5</f>
        <v>25.5</v>
      </c>
      <c r="G55" s="633">
        <v>50</v>
      </c>
      <c r="H55" s="633">
        <v>500</v>
      </c>
      <c r="I55" s="284">
        <f t="shared" si="2"/>
        <v>1</v>
      </c>
    </row>
    <row r="56" spans="1:12" ht="12" customHeight="1" x14ac:dyDescent="0.3">
      <c r="A56" s="822"/>
      <c r="B56" s="419" t="s">
        <v>46</v>
      </c>
      <c r="C56" s="409"/>
      <c r="D56" s="410"/>
      <c r="E56" s="623" t="s">
        <v>47</v>
      </c>
      <c r="F56" s="10">
        <f>60-24-3.5</f>
        <v>32.5</v>
      </c>
      <c r="G56" s="633">
        <v>60</v>
      </c>
      <c r="H56" s="633">
        <v>250</v>
      </c>
      <c r="I56" s="284">
        <f t="shared" si="2"/>
        <v>2</v>
      </c>
    </row>
    <row r="57" spans="1:12" ht="12" customHeight="1" x14ac:dyDescent="0.3">
      <c r="A57" s="823" t="s">
        <v>306</v>
      </c>
      <c r="B57" s="419" t="s">
        <v>48</v>
      </c>
      <c r="C57" s="409"/>
      <c r="D57" s="410"/>
      <c r="E57" s="623" t="s">
        <v>49</v>
      </c>
      <c r="F57" s="10">
        <f>70-24-3.5</f>
        <v>42.5</v>
      </c>
      <c r="G57" s="633">
        <v>70</v>
      </c>
      <c r="H57" s="633">
        <v>200</v>
      </c>
      <c r="I57" s="284">
        <f t="shared" si="2"/>
        <v>3</v>
      </c>
    </row>
    <row r="58" spans="1:12" ht="12" customHeight="1" thickBot="1" x14ac:dyDescent="0.35">
      <c r="A58" s="824"/>
      <c r="B58" s="420" t="s">
        <v>50</v>
      </c>
      <c r="C58" s="412"/>
      <c r="D58" s="413"/>
      <c r="E58" s="624" t="s">
        <v>51</v>
      </c>
      <c r="F58" s="45">
        <f>80-24-3.5</f>
        <v>52.5</v>
      </c>
      <c r="G58" s="634">
        <v>80</v>
      </c>
      <c r="H58" s="634">
        <v>200</v>
      </c>
      <c r="I58" s="285">
        <f t="shared" si="2"/>
        <v>3</v>
      </c>
    </row>
    <row r="59" spans="1:12" ht="3" customHeight="1" x14ac:dyDescent="0.3">
      <c r="A59" s="827"/>
      <c r="B59" s="28"/>
      <c r="C59" s="28"/>
      <c r="D59" s="28"/>
      <c r="E59" s="17"/>
      <c r="F59" s="17"/>
      <c r="G59" s="636"/>
      <c r="H59" s="16"/>
      <c r="I59" s="60"/>
    </row>
    <row r="60" spans="1:12" ht="12" customHeight="1" thickBot="1" x14ac:dyDescent="0.35">
      <c r="A60" s="828" t="s">
        <v>307</v>
      </c>
      <c r="B60" s="28"/>
      <c r="C60" s="28"/>
      <c r="D60" s="28"/>
      <c r="E60" s="16"/>
      <c r="F60" s="16"/>
      <c r="G60" s="636"/>
      <c r="H60" s="16"/>
      <c r="I60" s="60"/>
    </row>
    <row r="61" spans="1:12" ht="12" customHeight="1" x14ac:dyDescent="0.3">
      <c r="A61" s="202" t="s">
        <v>52</v>
      </c>
      <c r="B61" s="415" t="s">
        <v>53</v>
      </c>
      <c r="C61" s="416"/>
      <c r="D61" s="417"/>
      <c r="E61" s="337" t="s">
        <v>54</v>
      </c>
      <c r="F61" s="628">
        <v>30</v>
      </c>
      <c r="G61" s="629">
        <v>80</v>
      </c>
      <c r="H61" s="629">
        <v>50</v>
      </c>
      <c r="I61" s="286">
        <f t="shared" ref="I61:I67" si="3">ROUNDUP(($I$19/H61),0)</f>
        <v>9</v>
      </c>
    </row>
    <row r="62" spans="1:12" ht="12" customHeight="1" x14ac:dyDescent="0.3">
      <c r="A62" s="822"/>
      <c r="B62" s="408" t="s">
        <v>55</v>
      </c>
      <c r="C62" s="409"/>
      <c r="D62" s="410"/>
      <c r="E62" s="18" t="s">
        <v>56</v>
      </c>
      <c r="F62" s="626">
        <v>40</v>
      </c>
      <c r="G62" s="630">
        <v>100</v>
      </c>
      <c r="H62" s="630">
        <v>50</v>
      </c>
      <c r="I62" s="284">
        <f t="shared" si="3"/>
        <v>9</v>
      </c>
    </row>
    <row r="63" spans="1:12" ht="12" customHeight="1" x14ac:dyDescent="0.3">
      <c r="A63" s="822"/>
      <c r="B63" s="408" t="s">
        <v>57</v>
      </c>
      <c r="C63" s="409"/>
      <c r="D63" s="410"/>
      <c r="E63" s="18" t="s">
        <v>58</v>
      </c>
      <c r="F63" s="626">
        <v>40</v>
      </c>
      <c r="G63" s="630">
        <v>120</v>
      </c>
      <c r="H63" s="630">
        <v>50</v>
      </c>
      <c r="I63" s="284">
        <f t="shared" si="3"/>
        <v>9</v>
      </c>
    </row>
    <row r="64" spans="1:12" ht="12" customHeight="1" x14ac:dyDescent="0.3">
      <c r="A64" s="822"/>
      <c r="B64" s="408" t="s">
        <v>59</v>
      </c>
      <c r="C64" s="409"/>
      <c r="D64" s="410"/>
      <c r="E64" s="18" t="s">
        <v>60</v>
      </c>
      <c r="F64" s="626">
        <v>60</v>
      </c>
      <c r="G64" s="630">
        <v>140</v>
      </c>
      <c r="H64" s="630">
        <v>50</v>
      </c>
      <c r="I64" s="284">
        <f t="shared" si="3"/>
        <v>9</v>
      </c>
    </row>
    <row r="65" spans="1:9" ht="12" customHeight="1" x14ac:dyDescent="0.3">
      <c r="A65" s="822"/>
      <c r="B65" s="408" t="s">
        <v>61</v>
      </c>
      <c r="C65" s="409"/>
      <c r="D65" s="410"/>
      <c r="E65" s="18" t="s">
        <v>62</v>
      </c>
      <c r="F65" s="626">
        <v>80</v>
      </c>
      <c r="G65" s="630">
        <v>160</v>
      </c>
      <c r="H65" s="630">
        <v>50</v>
      </c>
      <c r="I65" s="284">
        <f t="shared" si="3"/>
        <v>9</v>
      </c>
    </row>
    <row r="66" spans="1:9" ht="12" customHeight="1" x14ac:dyDescent="0.3">
      <c r="A66" s="822"/>
      <c r="B66" s="408" t="s">
        <v>63</v>
      </c>
      <c r="C66" s="409"/>
      <c r="D66" s="410"/>
      <c r="E66" s="18" t="s">
        <v>64</v>
      </c>
      <c r="F66" s="626">
        <v>100</v>
      </c>
      <c r="G66" s="630">
        <v>180</v>
      </c>
      <c r="H66" s="630">
        <v>50</v>
      </c>
      <c r="I66" s="284">
        <f t="shared" si="3"/>
        <v>9</v>
      </c>
    </row>
    <row r="67" spans="1:9" ht="12" customHeight="1" thickBot="1" x14ac:dyDescent="0.35">
      <c r="A67" s="824"/>
      <c r="B67" s="411" t="s">
        <v>65</v>
      </c>
      <c r="C67" s="412"/>
      <c r="D67" s="413"/>
      <c r="E67" s="338" t="s">
        <v>66</v>
      </c>
      <c r="F67" s="627">
        <v>120</v>
      </c>
      <c r="G67" s="631">
        <v>200</v>
      </c>
      <c r="H67" s="631">
        <v>50</v>
      </c>
      <c r="I67" s="285">
        <f t="shared" si="3"/>
        <v>9</v>
      </c>
    </row>
    <row r="68" spans="1:9" x14ac:dyDescent="0.3">
      <c r="A68" s="38"/>
      <c r="B68" s="15"/>
      <c r="C68" s="15"/>
      <c r="D68" s="15"/>
      <c r="E68" s="15"/>
      <c r="F68" s="15"/>
      <c r="G68" s="15"/>
      <c r="H68" s="15"/>
      <c r="I68" s="16"/>
    </row>
    <row r="69" spans="1:9" x14ac:dyDescent="0.3">
      <c r="A69" s="38"/>
      <c r="B69" s="15"/>
      <c r="C69" s="15"/>
      <c r="D69" s="15"/>
      <c r="E69" s="15"/>
      <c r="F69" s="15"/>
      <c r="G69" s="15"/>
      <c r="H69" s="15"/>
      <c r="I69" s="16"/>
    </row>
    <row r="70" spans="1:9" x14ac:dyDescent="0.3">
      <c r="A70" s="38"/>
      <c r="B70" s="15"/>
      <c r="C70" s="15"/>
      <c r="D70" s="15"/>
      <c r="E70" s="15"/>
      <c r="F70" s="15"/>
      <c r="G70" s="15"/>
      <c r="H70" s="15"/>
      <c r="I70" s="16"/>
    </row>
    <row r="71" spans="1:9" x14ac:dyDescent="0.3">
      <c r="A71" s="38"/>
      <c r="B71" s="15"/>
      <c r="C71" s="15"/>
      <c r="D71" s="15"/>
      <c r="E71" s="15"/>
      <c r="F71" s="15"/>
      <c r="G71" s="15"/>
      <c r="H71" s="15"/>
      <c r="I71" s="16"/>
    </row>
    <row r="72" spans="1:9" x14ac:dyDescent="0.3">
      <c r="A72" s="38"/>
      <c r="B72" s="15"/>
      <c r="C72" s="15"/>
      <c r="D72" s="15"/>
      <c r="E72" s="15"/>
      <c r="F72" s="15"/>
      <c r="G72" s="15"/>
      <c r="H72" s="15"/>
      <c r="I72" s="16"/>
    </row>
    <row r="73" spans="1:9" x14ac:dyDescent="0.3">
      <c r="A73" s="38"/>
      <c r="B73" s="15"/>
      <c r="C73" s="15"/>
      <c r="D73" s="15"/>
      <c r="E73" s="15"/>
      <c r="F73" s="15"/>
      <c r="G73" s="15"/>
      <c r="H73" s="15"/>
      <c r="I73" s="16"/>
    </row>
    <row r="74" spans="1:9" x14ac:dyDescent="0.3">
      <c r="A74" s="38"/>
      <c r="B74" s="15"/>
      <c r="C74" s="15"/>
      <c r="D74" s="15"/>
      <c r="E74" s="15"/>
      <c r="F74" s="15"/>
      <c r="G74" s="15"/>
      <c r="H74" s="15"/>
      <c r="I74" s="16"/>
    </row>
    <row r="75" spans="1:9" x14ac:dyDescent="0.3">
      <c r="A75" s="38"/>
      <c r="B75" s="15"/>
      <c r="C75" s="15"/>
      <c r="D75" s="15"/>
      <c r="E75" s="15"/>
      <c r="F75" s="15"/>
      <c r="G75" s="15"/>
      <c r="H75" s="15"/>
      <c r="I75" s="16"/>
    </row>
    <row r="76" spans="1:9" x14ac:dyDescent="0.3">
      <c r="A76" s="38"/>
      <c r="B76" s="15"/>
      <c r="C76" s="15"/>
      <c r="D76" s="15"/>
      <c r="E76" s="15"/>
      <c r="F76" s="15"/>
      <c r="G76" s="15"/>
      <c r="H76" s="15"/>
      <c r="I76" s="16"/>
    </row>
    <row r="77" spans="1:9" x14ac:dyDescent="0.3">
      <c r="A77" s="38"/>
      <c r="B77" s="15"/>
      <c r="C77" s="15"/>
      <c r="D77" s="15"/>
      <c r="E77" s="15"/>
      <c r="F77" s="15"/>
      <c r="G77" s="15"/>
      <c r="H77" s="15"/>
      <c r="I77" s="16"/>
    </row>
    <row r="78" spans="1:9" x14ac:dyDescent="0.3">
      <c r="A78" s="38"/>
      <c r="B78" s="15"/>
      <c r="C78" s="15"/>
      <c r="D78" s="15"/>
      <c r="E78" s="15"/>
      <c r="F78" s="15"/>
      <c r="G78" s="15"/>
      <c r="H78" s="15"/>
      <c r="I78" s="16"/>
    </row>
    <row r="79" spans="1:9" x14ac:dyDescent="0.3">
      <c r="A79" s="38"/>
      <c r="B79" s="15"/>
      <c r="C79" s="15"/>
      <c r="D79" s="15"/>
      <c r="E79" s="15"/>
      <c r="F79" s="15"/>
      <c r="G79" s="15"/>
      <c r="H79" s="15"/>
      <c r="I79" s="15"/>
    </row>
    <row r="80" spans="1:9" x14ac:dyDescent="0.3">
      <c r="A80" s="38"/>
      <c r="B80" s="15"/>
      <c r="C80" s="15"/>
      <c r="D80" s="15"/>
      <c r="E80" s="15"/>
      <c r="F80" s="15"/>
      <c r="G80" s="15"/>
      <c r="H80" s="15"/>
      <c r="I80" s="15"/>
    </row>
    <row r="81" spans="1:9" x14ac:dyDescent="0.3">
      <c r="A81" s="38"/>
      <c r="B81" s="15"/>
      <c r="C81" s="15"/>
      <c r="D81" s="15"/>
      <c r="E81" s="15"/>
      <c r="F81" s="15"/>
      <c r="G81" s="15"/>
      <c r="H81" s="15"/>
      <c r="I81" s="15"/>
    </row>
    <row r="82" spans="1:9" x14ac:dyDescent="0.3">
      <c r="A82" s="38"/>
      <c r="B82" s="15"/>
      <c r="C82" s="15"/>
      <c r="D82" s="15"/>
      <c r="E82" s="15"/>
      <c r="F82" s="15"/>
      <c r="G82" s="15"/>
      <c r="H82" s="15"/>
      <c r="I82" s="15"/>
    </row>
    <row r="83" spans="1:9" x14ac:dyDescent="0.3">
      <c r="A83" s="38"/>
      <c r="B83" s="15"/>
      <c r="C83" s="15"/>
      <c r="D83" s="15"/>
      <c r="E83" s="15"/>
      <c r="F83" s="15"/>
      <c r="G83" s="15"/>
      <c r="H83" s="15"/>
      <c r="I83" s="15"/>
    </row>
    <row r="84" spans="1:9" x14ac:dyDescent="0.3">
      <c r="A84" s="38"/>
      <c r="B84" s="15"/>
      <c r="C84" s="15"/>
      <c r="D84" s="15"/>
      <c r="E84" s="15"/>
      <c r="F84" s="15"/>
      <c r="G84" s="15"/>
      <c r="H84" s="15"/>
      <c r="I84" s="15"/>
    </row>
    <row r="85" spans="1:9" x14ac:dyDescent="0.3">
      <c r="A85" s="38"/>
      <c r="B85" s="15"/>
      <c r="C85" s="15"/>
      <c r="D85" s="15"/>
      <c r="E85" s="15"/>
      <c r="F85" s="15"/>
      <c r="G85" s="15"/>
      <c r="H85" s="15"/>
      <c r="I85" s="15"/>
    </row>
    <row r="86" spans="1:9" x14ac:dyDescent="0.3">
      <c r="A86" s="38"/>
      <c r="B86" s="15"/>
      <c r="C86" s="15"/>
      <c r="D86" s="15"/>
      <c r="E86" s="15"/>
      <c r="F86" s="15"/>
      <c r="G86" s="15"/>
      <c r="H86" s="15"/>
      <c r="I86" s="15"/>
    </row>
    <row r="87" spans="1:9" x14ac:dyDescent="0.3">
      <c r="A87" s="38"/>
      <c r="B87" s="15"/>
      <c r="C87" s="15"/>
      <c r="D87" s="15"/>
      <c r="E87" s="15"/>
      <c r="F87" s="15"/>
      <c r="G87" s="15"/>
      <c r="H87" s="15"/>
      <c r="I87" s="15"/>
    </row>
    <row r="88" spans="1:9" x14ac:dyDescent="0.3">
      <c r="A88" s="38"/>
      <c r="B88" s="15"/>
      <c r="C88" s="15"/>
      <c r="D88" s="15"/>
      <c r="E88" s="15"/>
      <c r="F88" s="15"/>
      <c r="G88" s="15"/>
      <c r="H88" s="15"/>
      <c r="I88" s="15"/>
    </row>
    <row r="89" spans="1:9" x14ac:dyDescent="0.3">
      <c r="A89" s="38"/>
      <c r="B89" s="15"/>
      <c r="C89" s="15"/>
      <c r="D89" s="15"/>
      <c r="E89" s="15"/>
      <c r="F89" s="15"/>
      <c r="G89" s="15"/>
      <c r="H89" s="15"/>
      <c r="I89" s="15"/>
    </row>
    <row r="90" spans="1:9" x14ac:dyDescent="0.3">
      <c r="A90" s="38"/>
      <c r="B90" s="15"/>
      <c r="C90" s="15"/>
      <c r="D90" s="15"/>
      <c r="E90" s="15"/>
      <c r="F90" s="15"/>
      <c r="G90" s="15"/>
      <c r="H90" s="15"/>
      <c r="I90" s="15"/>
    </row>
    <row r="91" spans="1:9" x14ac:dyDescent="0.3">
      <c r="A91" s="38"/>
      <c r="B91" s="15"/>
      <c r="C91" s="15"/>
      <c r="D91" s="15"/>
      <c r="E91" s="15"/>
      <c r="F91" s="15"/>
      <c r="G91" s="15"/>
      <c r="H91" s="15"/>
      <c r="I91" s="15"/>
    </row>
    <row r="92" spans="1:9" x14ac:dyDescent="0.3">
      <c r="A92" s="38"/>
      <c r="B92" s="15"/>
      <c r="C92" s="15"/>
      <c r="D92" s="15"/>
      <c r="E92" s="15"/>
      <c r="F92" s="15"/>
      <c r="G92" s="15"/>
      <c r="H92" s="15"/>
      <c r="I92" s="15"/>
    </row>
    <row r="93" spans="1:9" x14ac:dyDescent="0.3">
      <c r="A93" s="38"/>
      <c r="B93" s="15"/>
      <c r="C93" s="15"/>
      <c r="D93" s="15"/>
      <c r="E93" s="15"/>
      <c r="F93" s="15"/>
      <c r="G93" s="15"/>
      <c r="H93" s="15"/>
      <c r="I93" s="15"/>
    </row>
    <row r="94" spans="1:9" x14ac:dyDescent="0.3">
      <c r="A94" s="38"/>
      <c r="B94" s="15"/>
      <c r="C94" s="15"/>
      <c r="D94" s="15"/>
      <c r="E94" s="15"/>
      <c r="F94" s="15"/>
      <c r="G94" s="15"/>
      <c r="H94" s="15"/>
      <c r="I94" s="15"/>
    </row>
    <row r="95" spans="1:9" x14ac:dyDescent="0.3">
      <c r="A95" s="38"/>
      <c r="B95" s="15"/>
      <c r="C95" s="15"/>
      <c r="D95" s="15"/>
      <c r="E95" s="15"/>
      <c r="F95" s="15"/>
      <c r="G95" s="15"/>
      <c r="H95" s="15"/>
      <c r="I95" s="15"/>
    </row>
    <row r="96" spans="1:9" x14ac:dyDescent="0.3">
      <c r="A96" s="38"/>
      <c r="B96" s="15"/>
      <c r="C96" s="15"/>
      <c r="D96" s="15"/>
      <c r="E96" s="15"/>
      <c r="F96" s="15"/>
      <c r="G96" s="15"/>
      <c r="H96" s="15"/>
      <c r="I96" s="15"/>
    </row>
    <row r="97" spans="1:9" x14ac:dyDescent="0.3">
      <c r="A97" s="38"/>
      <c r="B97" s="15"/>
      <c r="C97" s="15"/>
      <c r="D97" s="15"/>
      <c r="E97" s="15"/>
      <c r="F97" s="15"/>
      <c r="G97" s="15"/>
      <c r="H97" s="15"/>
      <c r="I97" s="15"/>
    </row>
    <row r="98" spans="1:9" x14ac:dyDescent="0.3">
      <c r="A98" s="38"/>
      <c r="B98" s="15"/>
      <c r="C98" s="15"/>
      <c r="D98" s="15"/>
      <c r="E98" s="15"/>
      <c r="F98" s="15"/>
      <c r="G98" s="15"/>
      <c r="H98" s="15"/>
      <c r="I98" s="15"/>
    </row>
    <row r="99" spans="1:9" x14ac:dyDescent="0.3">
      <c r="A99" s="38"/>
      <c r="B99" s="15"/>
      <c r="C99" s="15"/>
      <c r="D99" s="15"/>
      <c r="E99" s="15"/>
      <c r="F99" s="15"/>
      <c r="G99" s="15"/>
      <c r="H99" s="15"/>
      <c r="I99" s="15"/>
    </row>
    <row r="100" spans="1:9" x14ac:dyDescent="0.3">
      <c r="A100" s="38"/>
      <c r="B100" s="15"/>
      <c r="C100" s="15"/>
      <c r="D100" s="15"/>
      <c r="E100" s="15"/>
      <c r="F100" s="15"/>
      <c r="G100" s="15"/>
      <c r="H100" s="15"/>
      <c r="I100" s="15"/>
    </row>
    <row r="101" spans="1:9" x14ac:dyDescent="0.3">
      <c r="A101" s="38"/>
      <c r="B101" s="15"/>
      <c r="C101" s="15"/>
      <c r="D101" s="15"/>
      <c r="E101" s="15"/>
      <c r="F101" s="15"/>
      <c r="G101" s="15"/>
      <c r="H101" s="15"/>
      <c r="I101" s="15"/>
    </row>
    <row r="102" spans="1:9" x14ac:dyDescent="0.3">
      <c r="A102" s="38"/>
      <c r="B102" s="15"/>
      <c r="C102" s="15"/>
      <c r="D102" s="15"/>
      <c r="E102" s="15"/>
      <c r="F102" s="15"/>
      <c r="G102" s="15"/>
      <c r="H102" s="15"/>
      <c r="I102" s="15"/>
    </row>
    <row r="103" spans="1:9" x14ac:dyDescent="0.3">
      <c r="A103" s="38"/>
      <c r="B103" s="15"/>
      <c r="C103" s="15"/>
      <c r="D103" s="15"/>
      <c r="E103" s="15"/>
      <c r="F103" s="15"/>
      <c r="G103" s="15"/>
      <c r="H103" s="15"/>
      <c r="I103" s="15"/>
    </row>
    <row r="104" spans="1:9" x14ac:dyDescent="0.3">
      <c r="A104" s="38"/>
      <c r="B104" s="15"/>
      <c r="C104" s="15"/>
      <c r="D104" s="15"/>
      <c r="E104" s="15"/>
      <c r="F104" s="15"/>
      <c r="G104" s="15"/>
      <c r="H104" s="15"/>
      <c r="I104" s="15"/>
    </row>
    <row r="105" spans="1:9" x14ac:dyDescent="0.3">
      <c r="A105" s="38"/>
      <c r="B105" s="15"/>
      <c r="C105" s="15"/>
      <c r="D105" s="15"/>
      <c r="E105" s="15"/>
      <c r="F105" s="15"/>
      <c r="G105" s="15"/>
      <c r="H105" s="15"/>
      <c r="I105" s="15"/>
    </row>
    <row r="106" spans="1:9" x14ac:dyDescent="0.3">
      <c r="A106" s="38"/>
      <c r="B106" s="15"/>
      <c r="C106" s="15"/>
      <c r="D106" s="15"/>
      <c r="E106" s="15"/>
      <c r="F106" s="15"/>
      <c r="G106" s="15"/>
      <c r="H106" s="15"/>
      <c r="I106" s="15"/>
    </row>
    <row r="107" spans="1:9" x14ac:dyDescent="0.3">
      <c r="A107" s="38"/>
      <c r="B107" s="15"/>
      <c r="C107" s="15"/>
      <c r="D107" s="15"/>
      <c r="E107" s="15"/>
      <c r="F107" s="15"/>
      <c r="G107" s="15"/>
      <c r="H107" s="15"/>
      <c r="I107" s="15"/>
    </row>
    <row r="108" spans="1:9" x14ac:dyDescent="0.3">
      <c r="A108" s="38"/>
      <c r="B108" s="15"/>
      <c r="C108" s="15"/>
      <c r="D108" s="15"/>
      <c r="E108" s="15"/>
      <c r="F108" s="15"/>
      <c r="G108" s="15"/>
      <c r="H108" s="15"/>
      <c r="I108" s="15"/>
    </row>
    <row r="109" spans="1:9" x14ac:dyDescent="0.3">
      <c r="A109" s="38"/>
      <c r="B109" s="15"/>
      <c r="C109" s="15"/>
      <c r="D109" s="15"/>
      <c r="E109" s="15"/>
      <c r="F109" s="15"/>
      <c r="G109" s="15"/>
      <c r="H109" s="15"/>
      <c r="I109" s="15"/>
    </row>
    <row r="110" spans="1:9" x14ac:dyDescent="0.3">
      <c r="A110" s="38"/>
      <c r="B110" s="15"/>
      <c r="C110" s="15"/>
      <c r="D110" s="15"/>
      <c r="E110" s="15"/>
      <c r="F110" s="15"/>
      <c r="G110" s="15"/>
      <c r="H110" s="15"/>
      <c r="I110" s="15"/>
    </row>
    <row r="111" spans="1:9" x14ac:dyDescent="0.3">
      <c r="A111" s="38"/>
      <c r="B111" s="15"/>
      <c r="C111" s="15"/>
      <c r="D111" s="15"/>
      <c r="E111" s="15"/>
      <c r="F111" s="15"/>
      <c r="G111" s="15"/>
      <c r="H111" s="15"/>
      <c r="I111" s="15"/>
    </row>
    <row r="112" spans="1:9" x14ac:dyDescent="0.3">
      <c r="A112" s="38"/>
      <c r="B112" s="15"/>
      <c r="C112" s="15"/>
      <c r="D112" s="15"/>
      <c r="E112" s="15"/>
      <c r="F112" s="15"/>
      <c r="G112" s="15"/>
      <c r="H112" s="15"/>
      <c r="I112" s="15"/>
    </row>
    <row r="113" spans="1:9" x14ac:dyDescent="0.3">
      <c r="A113" s="38"/>
      <c r="B113" s="15"/>
      <c r="C113" s="15"/>
      <c r="D113" s="15"/>
      <c r="E113" s="15"/>
      <c r="F113" s="15"/>
      <c r="G113" s="15"/>
      <c r="H113" s="15"/>
      <c r="I113" s="15"/>
    </row>
    <row r="114" spans="1:9" x14ac:dyDescent="0.3">
      <c r="A114" s="38"/>
      <c r="B114" s="15"/>
      <c r="C114" s="15"/>
      <c r="D114" s="15"/>
      <c r="E114" s="15"/>
      <c r="F114" s="15"/>
      <c r="G114" s="15"/>
      <c r="H114" s="15"/>
      <c r="I114" s="15"/>
    </row>
    <row r="115" spans="1:9" x14ac:dyDescent="0.3">
      <c r="A115" s="38"/>
      <c r="B115" s="15"/>
      <c r="C115" s="15"/>
      <c r="D115" s="15"/>
      <c r="E115" s="15"/>
      <c r="F115" s="15"/>
      <c r="G115" s="15"/>
      <c r="H115" s="15"/>
      <c r="I115" s="15"/>
    </row>
    <row r="116" spans="1:9" x14ac:dyDescent="0.3">
      <c r="A116" s="38"/>
      <c r="B116" s="15"/>
      <c r="C116" s="15"/>
      <c r="D116" s="15"/>
      <c r="E116" s="15"/>
      <c r="F116" s="15"/>
      <c r="G116" s="15"/>
      <c r="H116" s="15"/>
      <c r="I116" s="15"/>
    </row>
    <row r="117" spans="1:9" x14ac:dyDescent="0.3">
      <c r="A117" s="38"/>
      <c r="B117" s="15"/>
      <c r="C117" s="15"/>
      <c r="D117" s="15"/>
      <c r="E117" s="15"/>
      <c r="F117" s="15"/>
      <c r="G117" s="15"/>
      <c r="H117" s="15"/>
      <c r="I117" s="15"/>
    </row>
    <row r="118" spans="1:9" x14ac:dyDescent="0.3">
      <c r="A118" s="38"/>
      <c r="B118" s="15"/>
      <c r="C118" s="15"/>
      <c r="D118" s="15"/>
      <c r="E118" s="15"/>
      <c r="F118" s="15"/>
      <c r="G118" s="15"/>
      <c r="H118" s="15"/>
      <c r="I118" s="15"/>
    </row>
    <row r="119" spans="1:9" x14ac:dyDescent="0.3">
      <c r="A119" s="38"/>
      <c r="B119" s="15"/>
      <c r="C119" s="15"/>
      <c r="D119" s="15"/>
      <c r="E119" s="15"/>
      <c r="F119" s="15"/>
      <c r="G119" s="15"/>
      <c r="H119" s="15"/>
      <c r="I119" s="15"/>
    </row>
    <row r="120" spans="1:9" x14ac:dyDescent="0.3">
      <c r="A120" s="38"/>
      <c r="B120" s="15"/>
      <c r="C120" s="15"/>
      <c r="D120" s="15"/>
      <c r="E120" s="15"/>
      <c r="F120" s="15"/>
      <c r="G120" s="15"/>
      <c r="H120" s="15"/>
      <c r="I120" s="15"/>
    </row>
    <row r="121" spans="1:9" x14ac:dyDescent="0.3">
      <c r="A121" s="38"/>
      <c r="B121" s="15"/>
      <c r="C121" s="15"/>
      <c r="D121" s="15"/>
      <c r="E121" s="15"/>
      <c r="F121" s="15"/>
      <c r="G121" s="15"/>
      <c r="H121" s="15"/>
      <c r="I121" s="15"/>
    </row>
    <row r="122" spans="1:9" x14ac:dyDescent="0.3">
      <c r="A122" s="38"/>
      <c r="B122" s="15"/>
      <c r="C122" s="15"/>
      <c r="D122" s="15"/>
      <c r="E122" s="15"/>
      <c r="F122" s="15"/>
      <c r="G122" s="15"/>
      <c r="H122" s="15"/>
      <c r="I122" s="15"/>
    </row>
    <row r="123" spans="1:9" x14ac:dyDescent="0.3">
      <c r="A123" s="38"/>
      <c r="B123" s="15"/>
      <c r="C123" s="15"/>
      <c r="D123" s="15"/>
      <c r="E123" s="15"/>
      <c r="F123" s="15"/>
      <c r="G123" s="15"/>
      <c r="H123" s="15"/>
      <c r="I123" s="15"/>
    </row>
    <row r="124" spans="1:9" x14ac:dyDescent="0.3">
      <c r="A124" s="38"/>
      <c r="B124" s="15"/>
      <c r="C124" s="15"/>
      <c r="D124" s="15"/>
      <c r="E124" s="15"/>
      <c r="F124" s="15"/>
      <c r="G124" s="15"/>
      <c r="H124" s="15"/>
      <c r="I124" s="15"/>
    </row>
    <row r="125" spans="1:9" x14ac:dyDescent="0.3">
      <c r="A125" s="38"/>
      <c r="B125" s="15"/>
      <c r="C125" s="15"/>
      <c r="D125" s="15"/>
      <c r="E125" s="15"/>
      <c r="F125" s="15"/>
      <c r="G125" s="15"/>
      <c r="H125" s="15"/>
      <c r="I125" s="15"/>
    </row>
    <row r="126" spans="1:9" x14ac:dyDescent="0.3">
      <c r="A126" s="38"/>
      <c r="B126" s="15"/>
      <c r="C126" s="15"/>
      <c r="D126" s="15"/>
      <c r="E126" s="15"/>
      <c r="F126" s="15"/>
      <c r="G126" s="15"/>
      <c r="H126" s="15"/>
      <c r="I126" s="15"/>
    </row>
    <row r="127" spans="1:9" x14ac:dyDescent="0.3">
      <c r="A127" s="38"/>
      <c r="B127" s="15"/>
      <c r="C127" s="15"/>
      <c r="D127" s="15"/>
      <c r="E127" s="15"/>
      <c r="F127" s="15"/>
      <c r="G127" s="15"/>
      <c r="H127" s="15"/>
      <c r="I127" s="15"/>
    </row>
    <row r="128" spans="1:9" x14ac:dyDescent="0.3">
      <c r="A128" s="38"/>
      <c r="B128" s="15"/>
      <c r="C128" s="15"/>
      <c r="D128" s="15"/>
      <c r="E128" s="15"/>
      <c r="F128" s="15"/>
      <c r="G128" s="15"/>
      <c r="H128" s="15"/>
      <c r="I128" s="15"/>
    </row>
    <row r="129" spans="1:9" x14ac:dyDescent="0.3">
      <c r="A129" s="38"/>
      <c r="B129" s="15"/>
      <c r="C129" s="15"/>
      <c r="D129" s="15"/>
      <c r="E129" s="15"/>
      <c r="F129" s="15"/>
      <c r="G129" s="15"/>
      <c r="H129" s="15"/>
      <c r="I129" s="15"/>
    </row>
    <row r="130" spans="1:9" x14ac:dyDescent="0.3">
      <c r="A130" s="38"/>
      <c r="B130" s="15"/>
      <c r="C130" s="15"/>
      <c r="D130" s="15"/>
      <c r="E130" s="15"/>
      <c r="F130" s="15"/>
      <c r="G130" s="15"/>
      <c r="H130" s="15"/>
      <c r="I130" s="15"/>
    </row>
    <row r="131" spans="1:9" x14ac:dyDescent="0.3">
      <c r="A131" s="38"/>
      <c r="B131" s="15"/>
      <c r="C131" s="15"/>
      <c r="D131" s="15"/>
      <c r="E131" s="15"/>
      <c r="F131" s="15"/>
      <c r="G131" s="15"/>
      <c r="H131" s="15"/>
      <c r="I131" s="15"/>
    </row>
    <row r="132" spans="1:9" x14ac:dyDescent="0.3">
      <c r="A132" s="38"/>
      <c r="B132" s="15"/>
      <c r="C132" s="15"/>
      <c r="D132" s="15"/>
      <c r="E132" s="15"/>
      <c r="F132" s="15"/>
      <c r="G132" s="15"/>
      <c r="H132" s="15"/>
      <c r="I132" s="15"/>
    </row>
    <row r="133" spans="1:9" x14ac:dyDescent="0.3">
      <c r="A133" s="38"/>
      <c r="B133" s="15"/>
      <c r="C133" s="15"/>
      <c r="D133" s="15"/>
      <c r="E133" s="15"/>
      <c r="F133" s="15"/>
      <c r="G133" s="15"/>
      <c r="H133" s="15"/>
      <c r="I133" s="15"/>
    </row>
    <row r="134" spans="1:9" x14ac:dyDescent="0.3">
      <c r="A134" s="38"/>
      <c r="B134" s="15"/>
      <c r="C134" s="15"/>
      <c r="D134" s="15"/>
      <c r="E134" s="15"/>
      <c r="F134" s="15"/>
      <c r="G134" s="15"/>
      <c r="H134" s="15"/>
      <c r="I134" s="15"/>
    </row>
    <row r="135" spans="1:9" x14ac:dyDescent="0.3">
      <c r="A135" s="38"/>
      <c r="B135" s="15"/>
      <c r="C135" s="15"/>
      <c r="D135" s="15"/>
      <c r="E135" s="15"/>
      <c r="F135" s="15"/>
      <c r="G135" s="15"/>
      <c r="H135" s="15"/>
      <c r="I135" s="15"/>
    </row>
    <row r="136" spans="1:9" x14ac:dyDescent="0.3">
      <c r="A136" s="38"/>
      <c r="B136" s="15"/>
      <c r="C136" s="15"/>
      <c r="D136" s="15"/>
      <c r="E136" s="15"/>
      <c r="F136" s="15"/>
      <c r="G136" s="15"/>
      <c r="H136" s="15"/>
      <c r="I136" s="15"/>
    </row>
    <row r="137" spans="1:9" x14ac:dyDescent="0.3">
      <c r="A137" s="38"/>
      <c r="B137" s="15"/>
      <c r="C137" s="15"/>
      <c r="D137" s="15"/>
      <c r="E137" s="15"/>
      <c r="F137" s="15"/>
      <c r="G137" s="15"/>
      <c r="H137" s="15"/>
      <c r="I137" s="15"/>
    </row>
    <row r="138" spans="1:9" x14ac:dyDescent="0.3">
      <c r="A138" s="38"/>
      <c r="B138" s="15"/>
      <c r="C138" s="15"/>
      <c r="D138" s="15"/>
      <c r="E138" s="15"/>
      <c r="F138" s="15"/>
      <c r="G138" s="15"/>
      <c r="H138" s="15"/>
      <c r="I138" s="15"/>
    </row>
    <row r="139" spans="1:9" x14ac:dyDescent="0.3">
      <c r="A139" s="38"/>
      <c r="B139" s="15"/>
      <c r="C139" s="15"/>
      <c r="D139" s="15"/>
      <c r="E139" s="15"/>
      <c r="F139" s="15"/>
      <c r="G139" s="15"/>
      <c r="H139" s="15"/>
      <c r="I139" s="15"/>
    </row>
    <row r="140" spans="1:9" x14ac:dyDescent="0.3">
      <c r="A140" s="38"/>
      <c r="B140" s="15"/>
      <c r="C140" s="15"/>
      <c r="D140" s="15"/>
      <c r="E140" s="15"/>
      <c r="F140" s="15"/>
      <c r="G140" s="15"/>
      <c r="H140" s="15"/>
      <c r="I140" s="15"/>
    </row>
    <row r="141" spans="1:9" x14ac:dyDescent="0.3">
      <c r="A141" s="38"/>
      <c r="B141" s="15"/>
      <c r="C141" s="15"/>
      <c r="D141" s="15"/>
      <c r="E141" s="15"/>
      <c r="F141" s="15"/>
      <c r="G141" s="15"/>
      <c r="H141" s="15"/>
      <c r="I141" s="15"/>
    </row>
    <row r="142" spans="1:9" x14ac:dyDescent="0.3">
      <c r="A142" s="38"/>
      <c r="B142" s="15"/>
      <c r="C142" s="15"/>
      <c r="D142" s="15"/>
      <c r="E142" s="15"/>
      <c r="F142" s="15"/>
      <c r="G142" s="15"/>
      <c r="H142" s="15"/>
      <c r="I142" s="15"/>
    </row>
    <row r="143" spans="1:9" x14ac:dyDescent="0.3">
      <c r="A143" s="38"/>
      <c r="B143" s="15"/>
      <c r="C143" s="15"/>
      <c r="D143" s="15"/>
      <c r="E143" s="15"/>
      <c r="F143" s="15"/>
      <c r="G143" s="15"/>
      <c r="H143" s="15"/>
      <c r="I143" s="15"/>
    </row>
    <row r="144" spans="1:9" x14ac:dyDescent="0.3">
      <c r="A144" s="38"/>
      <c r="B144" s="15"/>
      <c r="C144" s="15"/>
      <c r="D144" s="15"/>
      <c r="E144" s="15"/>
      <c r="F144" s="15"/>
      <c r="G144" s="15"/>
      <c r="H144" s="15"/>
      <c r="I144" s="15"/>
    </row>
    <row r="145" spans="1:9" x14ac:dyDescent="0.3">
      <c r="A145" s="38"/>
      <c r="B145" s="15"/>
      <c r="C145" s="15"/>
      <c r="D145" s="15"/>
      <c r="E145" s="15"/>
      <c r="F145" s="15"/>
      <c r="G145" s="15"/>
      <c r="H145" s="15"/>
      <c r="I145" s="15"/>
    </row>
    <row r="146" spans="1:9" x14ac:dyDescent="0.3">
      <c r="A146" s="38"/>
      <c r="B146" s="15"/>
      <c r="C146" s="15"/>
      <c r="D146" s="15"/>
      <c r="E146" s="15"/>
      <c r="F146" s="15"/>
      <c r="G146" s="15"/>
      <c r="H146" s="15"/>
      <c r="I146" s="15"/>
    </row>
    <row r="147" spans="1:9" x14ac:dyDescent="0.3">
      <c r="A147" s="38"/>
      <c r="B147" s="15"/>
      <c r="C147" s="15"/>
      <c r="D147" s="15"/>
      <c r="E147" s="15"/>
      <c r="F147" s="15"/>
      <c r="G147" s="15"/>
      <c r="H147" s="15"/>
      <c r="I147" s="15"/>
    </row>
    <row r="148" spans="1:9" x14ac:dyDescent="0.3">
      <c r="A148" s="38"/>
      <c r="B148" s="15"/>
      <c r="C148" s="15"/>
      <c r="D148" s="15"/>
      <c r="E148" s="15"/>
      <c r="F148" s="15"/>
      <c r="G148" s="15"/>
      <c r="H148" s="15"/>
      <c r="I148" s="15"/>
    </row>
    <row r="149" spans="1:9" x14ac:dyDescent="0.3">
      <c r="A149" s="38"/>
      <c r="B149" s="15"/>
      <c r="C149" s="15"/>
      <c r="D149" s="15"/>
      <c r="E149" s="15"/>
      <c r="F149" s="15"/>
      <c r="G149" s="15"/>
      <c r="H149" s="15"/>
      <c r="I149" s="15"/>
    </row>
    <row r="150" spans="1:9" x14ac:dyDescent="0.3">
      <c r="A150" s="38"/>
      <c r="B150" s="15"/>
      <c r="C150" s="15"/>
      <c r="D150" s="15"/>
      <c r="E150" s="15"/>
      <c r="F150" s="15"/>
      <c r="G150" s="15"/>
      <c r="H150" s="15"/>
      <c r="I150" s="15"/>
    </row>
    <row r="151" spans="1:9" x14ac:dyDescent="0.3">
      <c r="A151" s="38"/>
      <c r="B151" s="15"/>
      <c r="C151" s="15"/>
      <c r="D151" s="15"/>
      <c r="E151" s="15"/>
      <c r="F151" s="15"/>
      <c r="G151" s="15"/>
      <c r="H151" s="15"/>
      <c r="I151" s="15"/>
    </row>
    <row r="152" spans="1:9" x14ac:dyDescent="0.3">
      <c r="A152" s="38"/>
      <c r="B152" s="15"/>
      <c r="C152" s="15"/>
      <c r="D152" s="15"/>
      <c r="E152" s="15"/>
      <c r="F152" s="15"/>
      <c r="G152" s="15"/>
      <c r="H152" s="15"/>
      <c r="I152" s="15"/>
    </row>
    <row r="153" spans="1:9" x14ac:dyDescent="0.3">
      <c r="A153" s="38"/>
      <c r="B153" s="15"/>
      <c r="C153" s="15"/>
      <c r="D153" s="15"/>
      <c r="E153" s="15"/>
      <c r="F153" s="15"/>
      <c r="G153" s="15"/>
      <c r="H153" s="15"/>
      <c r="I153" s="15"/>
    </row>
    <row r="154" spans="1:9" x14ac:dyDescent="0.3">
      <c r="A154" s="38"/>
      <c r="B154" s="15"/>
      <c r="C154" s="15"/>
      <c r="D154" s="15"/>
      <c r="E154" s="15"/>
      <c r="F154" s="15"/>
      <c r="G154" s="15"/>
      <c r="H154" s="15"/>
      <c r="I154" s="15"/>
    </row>
    <row r="155" spans="1:9" x14ac:dyDescent="0.3">
      <c r="A155" s="38"/>
      <c r="B155" s="15"/>
      <c r="C155" s="15"/>
      <c r="D155" s="15"/>
      <c r="E155" s="15"/>
      <c r="F155" s="15"/>
      <c r="G155" s="15"/>
      <c r="H155" s="15"/>
      <c r="I155" s="15"/>
    </row>
    <row r="156" spans="1:9" x14ac:dyDescent="0.3">
      <c r="A156" s="38"/>
      <c r="B156" s="15"/>
      <c r="C156" s="15"/>
      <c r="D156" s="15"/>
      <c r="E156" s="15"/>
      <c r="F156" s="15"/>
      <c r="G156" s="15"/>
      <c r="H156" s="15"/>
      <c r="I156" s="15"/>
    </row>
    <row r="157" spans="1:9" x14ac:dyDescent="0.3">
      <c r="A157" s="38"/>
      <c r="B157" s="15"/>
      <c r="C157" s="15"/>
      <c r="D157" s="15"/>
      <c r="E157" s="15"/>
      <c r="F157" s="15"/>
      <c r="G157" s="15"/>
      <c r="H157" s="15"/>
      <c r="I157" s="15"/>
    </row>
    <row r="158" spans="1:9" x14ac:dyDescent="0.3">
      <c r="A158" s="38"/>
      <c r="B158" s="15"/>
      <c r="C158" s="15"/>
      <c r="D158" s="15"/>
      <c r="E158" s="15"/>
      <c r="F158" s="15"/>
      <c r="G158" s="15"/>
      <c r="H158" s="15"/>
      <c r="I158" s="15"/>
    </row>
    <row r="159" spans="1:9" x14ac:dyDescent="0.3">
      <c r="A159" s="38"/>
      <c r="B159" s="15"/>
      <c r="C159" s="15"/>
      <c r="D159" s="15"/>
      <c r="E159" s="15"/>
      <c r="F159" s="15"/>
      <c r="G159" s="15"/>
      <c r="H159" s="15"/>
      <c r="I159" s="15"/>
    </row>
    <row r="160" spans="1:9" x14ac:dyDescent="0.3">
      <c r="A160" s="38"/>
      <c r="B160" s="15"/>
      <c r="C160" s="15"/>
      <c r="D160" s="15"/>
      <c r="E160" s="15"/>
      <c r="F160" s="15"/>
      <c r="G160" s="15"/>
      <c r="H160" s="15"/>
      <c r="I160" s="15"/>
    </row>
    <row r="161" spans="1:9" x14ac:dyDescent="0.3">
      <c r="A161" s="38"/>
      <c r="B161" s="15"/>
      <c r="C161" s="15"/>
      <c r="D161" s="15"/>
      <c r="E161" s="15"/>
      <c r="F161" s="15"/>
      <c r="G161" s="15"/>
      <c r="H161" s="15"/>
      <c r="I161" s="15"/>
    </row>
    <row r="162" spans="1:9" x14ac:dyDescent="0.3">
      <c r="A162" s="38"/>
      <c r="B162" s="15"/>
      <c r="C162" s="15"/>
      <c r="D162" s="15"/>
      <c r="E162" s="15"/>
      <c r="F162" s="15"/>
      <c r="G162" s="15"/>
      <c r="H162" s="15"/>
      <c r="I162" s="15"/>
    </row>
    <row r="163" spans="1:9" x14ac:dyDescent="0.3">
      <c r="A163" s="38"/>
      <c r="B163" s="15"/>
      <c r="C163" s="15"/>
      <c r="D163" s="15"/>
      <c r="E163" s="15"/>
      <c r="F163" s="15"/>
      <c r="G163" s="15"/>
      <c r="H163" s="15"/>
      <c r="I163" s="15"/>
    </row>
    <row r="164" spans="1:9" x14ac:dyDescent="0.3">
      <c r="A164" s="38"/>
      <c r="B164" s="15"/>
      <c r="C164" s="15"/>
      <c r="D164" s="15"/>
      <c r="E164" s="15"/>
      <c r="F164" s="15"/>
      <c r="G164" s="15"/>
      <c r="H164" s="15"/>
      <c r="I164" s="15"/>
    </row>
    <row r="165" spans="1:9" x14ac:dyDescent="0.3">
      <c r="A165" s="38"/>
      <c r="B165" s="15"/>
      <c r="C165" s="15"/>
      <c r="D165" s="15"/>
      <c r="E165" s="15"/>
      <c r="F165" s="15"/>
      <c r="G165" s="15"/>
      <c r="H165" s="15"/>
      <c r="I165" s="15"/>
    </row>
    <row r="166" spans="1:9" x14ac:dyDescent="0.3">
      <c r="A166" s="38"/>
      <c r="B166" s="15"/>
      <c r="C166" s="15"/>
      <c r="D166" s="15"/>
      <c r="E166" s="15"/>
      <c r="F166" s="15"/>
      <c r="G166" s="15"/>
      <c r="H166" s="15"/>
      <c r="I166" s="15"/>
    </row>
    <row r="167" spans="1:9" x14ac:dyDescent="0.3">
      <c r="A167" s="38"/>
      <c r="B167" s="15"/>
      <c r="C167" s="15"/>
      <c r="D167" s="15"/>
      <c r="E167" s="15"/>
      <c r="F167" s="15"/>
      <c r="G167" s="15"/>
      <c r="H167" s="15"/>
      <c r="I167" s="15"/>
    </row>
    <row r="168" spans="1:9" x14ac:dyDescent="0.3">
      <c r="A168" s="38"/>
      <c r="B168" s="15"/>
      <c r="C168" s="15"/>
      <c r="D168" s="15"/>
      <c r="E168" s="15"/>
      <c r="F168" s="15"/>
      <c r="G168" s="15"/>
      <c r="H168" s="15"/>
      <c r="I168" s="15"/>
    </row>
    <row r="169" spans="1:9" x14ac:dyDescent="0.3">
      <c r="A169" s="38"/>
      <c r="B169" s="15"/>
      <c r="C169" s="15"/>
      <c r="D169" s="15"/>
      <c r="E169" s="15"/>
      <c r="F169" s="15"/>
      <c r="G169" s="15"/>
      <c r="H169" s="15"/>
      <c r="I169" s="15"/>
    </row>
    <row r="170" spans="1:9" x14ac:dyDescent="0.3">
      <c r="A170" s="38"/>
      <c r="B170" s="15"/>
      <c r="C170" s="15"/>
      <c r="D170" s="15"/>
      <c r="E170" s="15"/>
      <c r="F170" s="15"/>
      <c r="G170" s="15"/>
      <c r="H170" s="15"/>
      <c r="I170" s="15"/>
    </row>
    <row r="171" spans="1:9" x14ac:dyDescent="0.3">
      <c r="A171" s="38"/>
      <c r="B171" s="15"/>
      <c r="C171" s="15"/>
      <c r="D171" s="15"/>
      <c r="E171" s="15"/>
      <c r="F171" s="15"/>
      <c r="G171" s="15"/>
      <c r="H171" s="15"/>
      <c r="I171" s="15"/>
    </row>
    <row r="172" spans="1:9" x14ac:dyDescent="0.3">
      <c r="A172" s="38"/>
      <c r="B172" s="15"/>
      <c r="C172" s="15"/>
      <c r="D172" s="15"/>
      <c r="E172" s="15"/>
      <c r="F172" s="15"/>
      <c r="G172" s="15"/>
      <c r="H172" s="15"/>
      <c r="I172" s="15"/>
    </row>
    <row r="173" spans="1:9" x14ac:dyDescent="0.3">
      <c r="A173" s="38"/>
      <c r="B173" s="15"/>
      <c r="C173" s="15"/>
      <c r="D173" s="15"/>
      <c r="E173" s="15"/>
      <c r="F173" s="15"/>
      <c r="G173" s="15"/>
      <c r="H173" s="15"/>
      <c r="I173" s="15"/>
    </row>
    <row r="174" spans="1:9" x14ac:dyDescent="0.3">
      <c r="A174" s="38"/>
      <c r="B174" s="15"/>
      <c r="C174" s="15"/>
      <c r="D174" s="15"/>
      <c r="E174" s="15"/>
      <c r="F174" s="15"/>
      <c r="G174" s="15"/>
      <c r="H174" s="15"/>
      <c r="I174" s="15"/>
    </row>
    <row r="175" spans="1:9" x14ac:dyDescent="0.3">
      <c r="A175" s="38"/>
      <c r="B175" s="15"/>
      <c r="C175" s="15"/>
      <c r="D175" s="15"/>
      <c r="E175" s="15"/>
      <c r="F175" s="15"/>
      <c r="G175" s="15"/>
      <c r="H175" s="15"/>
      <c r="I175" s="15"/>
    </row>
    <row r="176" spans="1:9" x14ac:dyDescent="0.3">
      <c r="A176" s="38"/>
      <c r="B176" s="15"/>
      <c r="C176" s="15"/>
      <c r="D176" s="15"/>
      <c r="E176" s="15"/>
      <c r="F176" s="15"/>
      <c r="G176" s="15"/>
      <c r="H176" s="15"/>
      <c r="I176" s="15"/>
    </row>
    <row r="177" spans="1:9" x14ac:dyDescent="0.3">
      <c r="A177" s="38"/>
      <c r="B177" s="15"/>
      <c r="C177" s="15"/>
      <c r="D177" s="15"/>
      <c r="E177" s="15"/>
      <c r="F177" s="15"/>
      <c r="G177" s="15"/>
      <c r="H177" s="15"/>
      <c r="I177" s="15"/>
    </row>
    <row r="178" spans="1:9" x14ac:dyDescent="0.3">
      <c r="A178" s="38"/>
      <c r="B178" s="15"/>
      <c r="C178" s="15"/>
      <c r="D178" s="15"/>
      <c r="E178" s="15"/>
      <c r="F178" s="15"/>
      <c r="G178" s="15"/>
      <c r="H178" s="15"/>
      <c r="I178" s="15"/>
    </row>
    <row r="179" spans="1:9" x14ac:dyDescent="0.3">
      <c r="A179" s="38"/>
      <c r="B179" s="15"/>
      <c r="C179" s="15"/>
      <c r="D179" s="15"/>
      <c r="E179" s="15"/>
      <c r="F179" s="15"/>
      <c r="G179" s="15"/>
      <c r="H179" s="15"/>
      <c r="I179" s="15"/>
    </row>
    <row r="180" spans="1:9" x14ac:dyDescent="0.3">
      <c r="A180" s="38"/>
      <c r="B180" s="15"/>
      <c r="C180" s="15"/>
      <c r="D180" s="15"/>
      <c r="E180" s="15"/>
      <c r="F180" s="15"/>
      <c r="G180" s="15"/>
      <c r="H180" s="15"/>
      <c r="I180" s="15"/>
    </row>
    <row r="181" spans="1:9" x14ac:dyDescent="0.3">
      <c r="A181" s="38"/>
      <c r="B181" s="15"/>
      <c r="C181" s="15"/>
      <c r="D181" s="15"/>
      <c r="E181" s="15"/>
      <c r="F181" s="15"/>
      <c r="G181" s="15"/>
      <c r="H181" s="15"/>
      <c r="I181" s="15"/>
    </row>
    <row r="182" spans="1:9" x14ac:dyDescent="0.3">
      <c r="A182" s="38"/>
      <c r="B182" s="15"/>
      <c r="C182" s="15"/>
      <c r="D182" s="15"/>
      <c r="E182" s="15"/>
      <c r="F182" s="15"/>
      <c r="G182" s="15"/>
      <c r="H182" s="15"/>
      <c r="I182" s="15"/>
    </row>
    <row r="183" spans="1:9" x14ac:dyDescent="0.3">
      <c r="A183" s="38"/>
      <c r="B183" s="15"/>
      <c r="C183" s="15"/>
      <c r="D183" s="15"/>
      <c r="E183" s="15"/>
      <c r="F183" s="15"/>
      <c r="G183" s="15"/>
      <c r="H183" s="15"/>
      <c r="I183" s="15"/>
    </row>
    <row r="184" spans="1:9" x14ac:dyDescent="0.3">
      <c r="A184" s="38"/>
      <c r="B184" s="15"/>
      <c r="C184" s="15"/>
      <c r="D184" s="15"/>
      <c r="E184" s="15"/>
      <c r="F184" s="15"/>
      <c r="G184" s="15"/>
      <c r="H184" s="15"/>
      <c r="I184" s="15"/>
    </row>
    <row r="185" spans="1:9" x14ac:dyDescent="0.3">
      <c r="A185" s="38"/>
      <c r="B185" s="15"/>
      <c r="C185" s="15"/>
      <c r="D185" s="15"/>
      <c r="E185" s="15"/>
      <c r="F185" s="15"/>
      <c r="G185" s="15"/>
      <c r="H185" s="15"/>
      <c r="I185" s="15"/>
    </row>
    <row r="186" spans="1:9" x14ac:dyDescent="0.3">
      <c r="A186" s="38"/>
      <c r="B186" s="15"/>
      <c r="C186" s="15"/>
      <c r="D186" s="15"/>
      <c r="E186" s="15"/>
      <c r="F186" s="15"/>
      <c r="G186" s="15"/>
      <c r="H186" s="15"/>
      <c r="I186" s="15"/>
    </row>
    <row r="187" spans="1:9" x14ac:dyDescent="0.3">
      <c r="A187" s="38"/>
      <c r="B187" s="15"/>
      <c r="C187" s="15"/>
      <c r="D187" s="15"/>
      <c r="E187" s="15"/>
      <c r="F187" s="15"/>
      <c r="G187" s="15"/>
      <c r="H187" s="15"/>
      <c r="I187" s="15"/>
    </row>
    <row r="188" spans="1:9" x14ac:dyDescent="0.3">
      <c r="A188" s="38"/>
      <c r="B188" s="15"/>
      <c r="C188" s="15"/>
      <c r="D188" s="15"/>
      <c r="E188" s="15"/>
      <c r="F188" s="15"/>
      <c r="G188" s="15"/>
      <c r="H188" s="15"/>
      <c r="I188" s="15"/>
    </row>
    <row r="189" spans="1:9" x14ac:dyDescent="0.3">
      <c r="A189" s="38"/>
      <c r="B189" s="15"/>
      <c r="C189" s="15"/>
      <c r="D189" s="15"/>
      <c r="E189" s="15"/>
      <c r="F189" s="15"/>
      <c r="G189" s="15"/>
      <c r="H189" s="15"/>
      <c r="I189" s="15"/>
    </row>
    <row r="190" spans="1:9" x14ac:dyDescent="0.3">
      <c r="A190" s="38"/>
      <c r="B190" s="15"/>
      <c r="C190" s="15"/>
      <c r="D190" s="15"/>
      <c r="E190" s="15"/>
      <c r="F190" s="15"/>
      <c r="G190" s="15"/>
      <c r="H190" s="15"/>
      <c r="I190" s="15"/>
    </row>
    <row r="191" spans="1:9" x14ac:dyDescent="0.3">
      <c r="A191" s="38"/>
      <c r="B191" s="15"/>
      <c r="C191" s="15"/>
      <c r="D191" s="15"/>
      <c r="E191" s="15"/>
      <c r="F191" s="15"/>
      <c r="G191" s="15"/>
      <c r="H191" s="15"/>
      <c r="I191" s="15"/>
    </row>
    <row r="192" spans="1:9" x14ac:dyDescent="0.3">
      <c r="A192" s="38"/>
      <c r="B192" s="15"/>
      <c r="C192" s="15"/>
      <c r="D192" s="15"/>
      <c r="E192" s="15"/>
      <c r="F192" s="15"/>
      <c r="G192" s="15"/>
      <c r="H192" s="15"/>
      <c r="I192" s="15"/>
    </row>
    <row r="193" spans="1:9" x14ac:dyDescent="0.3">
      <c r="A193" s="38"/>
      <c r="B193" s="15"/>
      <c r="C193" s="15"/>
      <c r="D193" s="15"/>
      <c r="E193" s="15"/>
      <c r="F193" s="15"/>
      <c r="G193" s="15"/>
      <c r="H193" s="15"/>
      <c r="I193" s="15"/>
    </row>
    <row r="194" spans="1:9" x14ac:dyDescent="0.3">
      <c r="A194" s="38"/>
      <c r="B194" s="15"/>
      <c r="C194" s="15"/>
      <c r="D194" s="15"/>
      <c r="E194" s="15"/>
      <c r="F194" s="15"/>
      <c r="G194" s="15"/>
      <c r="H194" s="15"/>
      <c r="I194" s="15"/>
    </row>
    <row r="195" spans="1:9" x14ac:dyDescent="0.3">
      <c r="A195" s="38"/>
      <c r="B195" s="15"/>
      <c r="C195" s="15"/>
      <c r="D195" s="15"/>
      <c r="E195" s="15"/>
      <c r="F195" s="15"/>
      <c r="G195" s="15"/>
      <c r="H195" s="15"/>
      <c r="I195" s="15"/>
    </row>
    <row r="196" spans="1:9" x14ac:dyDescent="0.3">
      <c r="A196" s="38"/>
      <c r="B196" s="15"/>
      <c r="C196" s="15"/>
      <c r="D196" s="15"/>
      <c r="E196" s="15"/>
      <c r="F196" s="15"/>
      <c r="G196" s="15"/>
      <c r="H196" s="15"/>
      <c r="I196" s="15"/>
    </row>
    <row r="197" spans="1:9" x14ac:dyDescent="0.3">
      <c r="A197" s="38"/>
      <c r="B197" s="15"/>
      <c r="C197" s="15"/>
      <c r="D197" s="15"/>
      <c r="E197" s="15"/>
      <c r="F197" s="15"/>
      <c r="G197" s="15"/>
      <c r="H197" s="15"/>
      <c r="I197" s="15"/>
    </row>
    <row r="198" spans="1:9" x14ac:dyDescent="0.3">
      <c r="A198" s="38"/>
      <c r="B198" s="15"/>
      <c r="C198" s="15"/>
      <c r="D198" s="15"/>
      <c r="E198" s="15"/>
      <c r="F198" s="15"/>
      <c r="G198" s="15"/>
      <c r="H198" s="15"/>
      <c r="I198" s="15"/>
    </row>
    <row r="199" spans="1:9" x14ac:dyDescent="0.3">
      <c r="A199" s="38"/>
      <c r="B199" s="15"/>
      <c r="C199" s="15"/>
      <c r="D199" s="15"/>
      <c r="E199" s="15"/>
      <c r="F199" s="15"/>
      <c r="G199" s="15"/>
      <c r="H199" s="15"/>
      <c r="I199" s="15"/>
    </row>
    <row r="200" spans="1:9" x14ac:dyDescent="0.3">
      <c r="A200" s="38"/>
      <c r="B200" s="15"/>
      <c r="C200" s="15"/>
      <c r="D200" s="15"/>
      <c r="E200" s="15"/>
      <c r="F200" s="15"/>
      <c r="G200" s="15"/>
      <c r="H200" s="15"/>
      <c r="I200" s="15"/>
    </row>
    <row r="201" spans="1:9" x14ac:dyDescent="0.3">
      <c r="A201" s="38"/>
      <c r="B201" s="15"/>
      <c r="C201" s="15"/>
      <c r="D201" s="15"/>
      <c r="E201" s="15"/>
      <c r="F201" s="15"/>
      <c r="G201" s="15"/>
      <c r="H201" s="15"/>
      <c r="I201" s="15"/>
    </row>
    <row r="202" spans="1:9" x14ac:dyDescent="0.3">
      <c r="A202" s="38"/>
      <c r="B202" s="15"/>
      <c r="C202" s="15"/>
      <c r="D202" s="15"/>
      <c r="E202" s="15"/>
      <c r="F202" s="15"/>
      <c r="G202" s="15"/>
      <c r="H202" s="15"/>
      <c r="I202" s="15"/>
    </row>
    <row r="203" spans="1:9" x14ac:dyDescent="0.3">
      <c r="A203" s="38"/>
      <c r="B203" s="15"/>
      <c r="C203" s="15"/>
      <c r="D203" s="15"/>
      <c r="E203" s="15"/>
      <c r="F203" s="15"/>
      <c r="G203" s="15"/>
      <c r="H203" s="15"/>
      <c r="I203" s="15"/>
    </row>
    <row r="204" spans="1:9" x14ac:dyDescent="0.3">
      <c r="A204" s="38"/>
      <c r="B204" s="15"/>
      <c r="C204" s="15"/>
      <c r="D204" s="15"/>
      <c r="E204" s="15"/>
      <c r="F204" s="15"/>
      <c r="G204" s="15"/>
      <c r="H204" s="15"/>
      <c r="I204" s="15"/>
    </row>
    <row r="205" spans="1:9" x14ac:dyDescent="0.3">
      <c r="A205" s="38"/>
      <c r="B205" s="15"/>
      <c r="C205" s="15"/>
      <c r="D205" s="15"/>
      <c r="E205" s="15"/>
      <c r="F205" s="15"/>
      <c r="G205" s="15"/>
      <c r="H205" s="15"/>
      <c r="I205" s="15"/>
    </row>
    <row r="206" spans="1:9" x14ac:dyDescent="0.3">
      <c r="A206" s="38"/>
      <c r="B206" s="15"/>
      <c r="C206" s="15"/>
      <c r="D206" s="15"/>
      <c r="E206" s="15"/>
      <c r="F206" s="15"/>
      <c r="G206" s="15"/>
      <c r="H206" s="15"/>
      <c r="I206" s="15"/>
    </row>
    <row r="207" spans="1:9" x14ac:dyDescent="0.3">
      <c r="A207" s="38"/>
      <c r="B207" s="15"/>
      <c r="C207" s="15"/>
      <c r="D207" s="15"/>
      <c r="E207" s="15"/>
      <c r="F207" s="15"/>
      <c r="G207" s="15"/>
      <c r="H207" s="15"/>
      <c r="I207" s="15"/>
    </row>
    <row r="208" spans="1:9" x14ac:dyDescent="0.3">
      <c r="A208" s="38"/>
      <c r="B208" s="15"/>
      <c r="C208" s="15"/>
      <c r="D208" s="15"/>
      <c r="E208" s="15"/>
      <c r="F208" s="15"/>
      <c r="G208" s="15"/>
      <c r="H208" s="15"/>
      <c r="I208" s="15"/>
    </row>
    <row r="209" spans="1:9" x14ac:dyDescent="0.3">
      <c r="A209" s="38"/>
      <c r="B209" s="15"/>
      <c r="C209" s="15"/>
      <c r="D209" s="15"/>
      <c r="E209" s="15"/>
      <c r="F209" s="15"/>
      <c r="G209" s="15"/>
      <c r="H209" s="15"/>
      <c r="I209" s="15"/>
    </row>
    <row r="210" spans="1:9" x14ac:dyDescent="0.3">
      <c r="A210" s="38"/>
      <c r="B210" s="15"/>
      <c r="C210" s="15"/>
      <c r="D210" s="15"/>
      <c r="E210" s="15"/>
      <c r="F210" s="15"/>
      <c r="G210" s="15"/>
      <c r="H210" s="15"/>
      <c r="I210" s="15"/>
    </row>
    <row r="211" spans="1:9" x14ac:dyDescent="0.3">
      <c r="A211" s="38"/>
      <c r="B211" s="15"/>
      <c r="C211" s="15"/>
      <c r="D211" s="15"/>
      <c r="E211" s="15"/>
      <c r="F211" s="15"/>
      <c r="G211" s="15"/>
      <c r="H211" s="15"/>
      <c r="I211" s="15"/>
    </row>
    <row r="212" spans="1:9" x14ac:dyDescent="0.3">
      <c r="A212" s="38"/>
      <c r="B212" s="15"/>
      <c r="C212" s="15"/>
      <c r="D212" s="15"/>
      <c r="E212" s="15"/>
      <c r="F212" s="15"/>
      <c r="G212" s="15"/>
      <c r="H212" s="15"/>
      <c r="I212" s="15"/>
    </row>
    <row r="213" spans="1:9" x14ac:dyDescent="0.3">
      <c r="A213" s="38"/>
      <c r="B213" s="15"/>
      <c r="C213" s="15"/>
      <c r="D213" s="15"/>
      <c r="E213" s="15"/>
      <c r="F213" s="15"/>
      <c r="G213" s="15"/>
      <c r="H213" s="15"/>
      <c r="I213" s="15"/>
    </row>
    <row r="214" spans="1:9" x14ac:dyDescent="0.3">
      <c r="A214" s="38"/>
      <c r="B214" s="15"/>
      <c r="C214" s="15"/>
      <c r="D214" s="15"/>
      <c r="E214" s="15"/>
      <c r="F214" s="15"/>
      <c r="G214" s="15"/>
      <c r="H214" s="15"/>
      <c r="I214" s="15"/>
    </row>
    <row r="215" spans="1:9" x14ac:dyDescent="0.3">
      <c r="A215" s="38"/>
      <c r="B215" s="15"/>
      <c r="C215" s="15"/>
      <c r="D215" s="15"/>
      <c r="E215" s="15"/>
      <c r="F215" s="15"/>
      <c r="G215" s="15"/>
      <c r="H215" s="15"/>
      <c r="I215" s="15"/>
    </row>
    <row r="216" spans="1:9" x14ac:dyDescent="0.3">
      <c r="A216" s="38"/>
      <c r="B216" s="15"/>
      <c r="C216" s="15"/>
      <c r="D216" s="15"/>
      <c r="E216" s="15"/>
      <c r="F216" s="15"/>
      <c r="G216" s="15"/>
      <c r="H216" s="15"/>
      <c r="I216" s="15"/>
    </row>
    <row r="217" spans="1:9" x14ac:dyDescent="0.3">
      <c r="A217" s="38"/>
      <c r="B217" s="15"/>
      <c r="C217" s="15"/>
      <c r="D217" s="15"/>
      <c r="E217" s="15"/>
      <c r="F217" s="15"/>
      <c r="G217" s="15"/>
      <c r="H217" s="15"/>
      <c r="I217" s="15"/>
    </row>
    <row r="218" spans="1:9" x14ac:dyDescent="0.3">
      <c r="A218" s="38"/>
      <c r="B218" s="15"/>
      <c r="C218" s="15"/>
      <c r="D218" s="15"/>
      <c r="E218" s="15"/>
      <c r="F218" s="15"/>
      <c r="G218" s="15"/>
      <c r="H218" s="15"/>
      <c r="I218" s="15"/>
    </row>
    <row r="219" spans="1:9" x14ac:dyDescent="0.3">
      <c r="A219" s="38"/>
      <c r="B219" s="15"/>
      <c r="C219" s="15"/>
      <c r="D219" s="15"/>
      <c r="E219" s="15"/>
      <c r="F219" s="15"/>
      <c r="G219" s="15"/>
      <c r="H219" s="15"/>
      <c r="I219" s="15"/>
    </row>
    <row r="220" spans="1:9" x14ac:dyDescent="0.3">
      <c r="A220" s="38"/>
      <c r="B220" s="15"/>
      <c r="C220" s="15"/>
      <c r="D220" s="15"/>
      <c r="E220" s="15"/>
      <c r="F220" s="15"/>
      <c r="G220" s="15"/>
      <c r="H220" s="15"/>
      <c r="I220" s="15"/>
    </row>
    <row r="221" spans="1:9" x14ac:dyDescent="0.3">
      <c r="A221" s="38"/>
      <c r="B221" s="15"/>
      <c r="C221" s="15"/>
      <c r="D221" s="15"/>
      <c r="E221" s="15"/>
      <c r="F221" s="15"/>
      <c r="G221" s="15"/>
      <c r="H221" s="15"/>
      <c r="I221" s="15"/>
    </row>
    <row r="222" spans="1:9" x14ac:dyDescent="0.3">
      <c r="A222" s="38"/>
      <c r="B222" s="15"/>
      <c r="C222" s="15"/>
      <c r="D222" s="15"/>
      <c r="E222" s="15"/>
      <c r="F222" s="15"/>
      <c r="G222" s="15"/>
      <c r="H222" s="15"/>
      <c r="I222" s="15"/>
    </row>
    <row r="223" spans="1:9" x14ac:dyDescent="0.3">
      <c r="A223" s="38"/>
      <c r="B223" s="15"/>
      <c r="C223" s="15"/>
      <c r="D223" s="15"/>
      <c r="E223" s="15"/>
      <c r="F223" s="15"/>
      <c r="G223" s="15"/>
      <c r="H223" s="15"/>
      <c r="I223" s="15"/>
    </row>
    <row r="224" spans="1:9" x14ac:dyDescent="0.3">
      <c r="A224" s="38"/>
      <c r="B224" s="15"/>
      <c r="C224" s="15"/>
      <c r="D224" s="15"/>
      <c r="E224" s="15"/>
      <c r="F224" s="15"/>
      <c r="G224" s="15"/>
      <c r="H224" s="15"/>
      <c r="I224" s="15"/>
    </row>
    <row r="225" spans="1:9" x14ac:dyDescent="0.3">
      <c r="A225" s="38"/>
      <c r="B225" s="15"/>
      <c r="C225" s="15"/>
      <c r="D225" s="15"/>
      <c r="E225" s="15"/>
      <c r="F225" s="15"/>
      <c r="G225" s="15"/>
      <c r="H225" s="15"/>
      <c r="I225" s="15"/>
    </row>
    <row r="226" spans="1:9" x14ac:dyDescent="0.3">
      <c r="A226" s="38"/>
      <c r="B226" s="15"/>
      <c r="C226" s="15"/>
      <c r="D226" s="15"/>
      <c r="E226" s="15"/>
      <c r="F226" s="15"/>
      <c r="G226" s="15"/>
      <c r="H226" s="15"/>
      <c r="I226" s="15"/>
    </row>
    <row r="227" spans="1:9" x14ac:dyDescent="0.3">
      <c r="A227" s="38"/>
      <c r="B227" s="15"/>
      <c r="C227" s="15"/>
      <c r="D227" s="15"/>
      <c r="E227" s="15"/>
      <c r="F227" s="15"/>
      <c r="G227" s="15"/>
      <c r="H227" s="15"/>
      <c r="I227" s="15"/>
    </row>
    <row r="228" spans="1:9" x14ac:dyDescent="0.3">
      <c r="A228" s="38"/>
      <c r="B228" s="15"/>
      <c r="C228" s="15"/>
      <c r="D228" s="15"/>
      <c r="E228" s="15"/>
      <c r="F228" s="15"/>
      <c r="G228" s="15"/>
      <c r="H228" s="15"/>
      <c r="I228" s="15"/>
    </row>
    <row r="229" spans="1:9" x14ac:dyDescent="0.3">
      <c r="A229" s="38"/>
      <c r="B229" s="15"/>
      <c r="C229" s="15"/>
      <c r="D229" s="15"/>
      <c r="E229" s="15"/>
      <c r="F229" s="15"/>
      <c r="G229" s="15"/>
      <c r="H229" s="15"/>
      <c r="I229" s="15"/>
    </row>
    <row r="230" spans="1:9" x14ac:dyDescent="0.3">
      <c r="A230" s="38"/>
      <c r="B230" s="15"/>
      <c r="C230" s="15"/>
      <c r="D230" s="15"/>
      <c r="E230" s="15"/>
      <c r="F230" s="15"/>
      <c r="G230" s="15"/>
      <c r="H230" s="15"/>
      <c r="I230" s="15"/>
    </row>
    <row r="231" spans="1:9" x14ac:dyDescent="0.3">
      <c r="A231" s="15"/>
      <c r="B231" s="15"/>
      <c r="C231" s="15"/>
      <c r="D231" s="15"/>
      <c r="E231" s="15"/>
      <c r="F231" s="15"/>
      <c r="G231" s="15"/>
      <c r="H231" s="15"/>
      <c r="I231" s="15"/>
    </row>
    <row r="232" spans="1:9" x14ac:dyDescent="0.3">
      <c r="A232" s="15"/>
      <c r="B232" s="15"/>
      <c r="C232" s="15"/>
      <c r="D232" s="15"/>
      <c r="E232" s="15"/>
      <c r="F232" s="15"/>
      <c r="G232" s="15"/>
      <c r="H232" s="15"/>
      <c r="I232" s="15"/>
    </row>
    <row r="233" spans="1:9" x14ac:dyDescent="0.3">
      <c r="A233" s="15"/>
      <c r="B233" s="15"/>
      <c r="C233" s="15"/>
      <c r="D233" s="15"/>
      <c r="E233" s="15"/>
      <c r="F233" s="15"/>
      <c r="G233" s="15"/>
      <c r="H233" s="15"/>
      <c r="I233" s="15"/>
    </row>
    <row r="234" spans="1:9" x14ac:dyDescent="0.3">
      <c r="A234" s="15"/>
      <c r="B234" s="15"/>
      <c r="C234" s="15"/>
      <c r="D234" s="15"/>
      <c r="E234" s="15"/>
      <c r="F234" s="15"/>
      <c r="G234" s="15"/>
      <c r="H234" s="15"/>
      <c r="I234" s="15"/>
    </row>
    <row r="235" spans="1:9" x14ac:dyDescent="0.3">
      <c r="A235" s="15"/>
      <c r="B235" s="15"/>
      <c r="C235" s="15"/>
      <c r="D235" s="15"/>
      <c r="E235" s="15"/>
      <c r="F235" s="15"/>
      <c r="G235" s="15"/>
      <c r="H235" s="15"/>
      <c r="I235" s="15"/>
    </row>
    <row r="236" spans="1:9" x14ac:dyDescent="0.3">
      <c r="A236" s="15"/>
      <c r="B236" s="15"/>
      <c r="C236" s="15"/>
      <c r="D236" s="15"/>
      <c r="E236" s="15"/>
      <c r="F236" s="15"/>
      <c r="G236" s="15"/>
      <c r="H236" s="15"/>
      <c r="I236" s="15"/>
    </row>
    <row r="237" spans="1:9" x14ac:dyDescent="0.3">
      <c r="A237" s="15"/>
      <c r="B237" s="15"/>
      <c r="C237" s="15"/>
      <c r="D237" s="15"/>
      <c r="E237" s="15"/>
      <c r="F237" s="15"/>
      <c r="G237" s="15"/>
      <c r="H237" s="15"/>
      <c r="I237" s="15"/>
    </row>
    <row r="238" spans="1:9" x14ac:dyDescent="0.3">
      <c r="A238" s="15"/>
      <c r="B238" s="15"/>
      <c r="C238" s="15"/>
      <c r="D238" s="15"/>
      <c r="E238" s="15"/>
      <c r="F238" s="15"/>
      <c r="G238" s="15"/>
      <c r="H238" s="15"/>
      <c r="I238" s="15"/>
    </row>
  </sheetData>
  <sheetProtection algorithmName="SHA-512" hashValue="vG3kyCWNaHnEHnh3NuNmbGoHjlT9PXe+Edkvp3VCZZhBW7N434vGi3lxaYDSp3cd6ctRbUoV0vPLMR9oQa+Htg==" saltValue="cnhy6sLLeajSFd1kRgN+zw==" spinCount="100000" sheet="1" selectLockedCells="1"/>
  <mergeCells count="48">
    <mergeCell ref="B22:D22"/>
    <mergeCell ref="L8:P10"/>
    <mergeCell ref="B3:I3"/>
    <mergeCell ref="B23:D23"/>
    <mergeCell ref="B26:D26"/>
    <mergeCell ref="L12:Q13"/>
    <mergeCell ref="L14:P17"/>
    <mergeCell ref="B1:C1"/>
    <mergeCell ref="E1:G1"/>
    <mergeCell ref="I1:J1"/>
    <mergeCell ref="B53:D53"/>
    <mergeCell ref="B36:D36"/>
    <mergeCell ref="B37:D37"/>
    <mergeCell ref="B38:D38"/>
    <mergeCell ref="B39:D39"/>
    <mergeCell ref="B40:D40"/>
    <mergeCell ref="B66:D66"/>
    <mergeCell ref="B67:D67"/>
    <mergeCell ref="F21:F22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41:D41"/>
    <mergeCell ref="B42:D42"/>
    <mergeCell ref="B43:D43"/>
    <mergeCell ref="A50:A51"/>
    <mergeCell ref="K32:L37"/>
    <mergeCell ref="K27:L28"/>
    <mergeCell ref="K29:L29"/>
    <mergeCell ref="K39:L43"/>
    <mergeCell ref="K44:L51"/>
    <mergeCell ref="B33:D33"/>
    <mergeCell ref="B34:D34"/>
    <mergeCell ref="B35:D35"/>
    <mergeCell ref="B44:D44"/>
    <mergeCell ref="B27:D27"/>
    <mergeCell ref="B28:D28"/>
    <mergeCell ref="B29:D29"/>
    <mergeCell ref="B30:D30"/>
    <mergeCell ref="B32:D32"/>
    <mergeCell ref="B31:D31"/>
  </mergeCells>
  <conditionalFormatting sqref="I27:I44 I47:I58 I61:I67">
    <cfRule type="expression" dxfId="49" priority="35">
      <formula>G27&gt;($C$20+$B$20+$D$20)</formula>
    </cfRule>
    <cfRule type="expression" dxfId="48" priority="36">
      <formula>$B$20&gt;F27</formula>
    </cfRule>
  </conditionalFormatting>
  <pageMargins left="0.39370078740157483" right="0.39370078740157483" top="1.1023622047244095" bottom="0.39370078740157483" header="0.31496062992125984" footer="0.31496062992125984"/>
  <pageSetup paperSize="256" orientation="landscape" r:id="rId1"/>
  <headerFooter differentFirst="1" alignWithMargins="0">
    <firstHeader>&amp;R&amp;G</firstHeader>
    <firstFooter xml:space="preserve">&amp;L&amp;"Wuerth Book,Standard"&amp;8HINWEIS: Es handelt sich hier um Planungshilfen zur Bestimmung der Schraubenmengen. Die Statik ist durch autorisierte Personen im Projektfall zu bemessen. 
&amp;D ASSY Terrassenbauschrauben &amp;R&amp;"Wuerth Book,Standard"&amp;8 &amp;P von &amp;N  </firstFooter>
  </headerFooter>
  <rowBreaks count="1" manualBreakCount="1">
    <brk id="25" max="16383" man="1"/>
  </rowBreaks>
  <ignoredErrors>
    <ignoredError sqref="E27 E29:E34 E35:E40 E43:E44 E47:E52 E53:E58 E61:E67" numberStoredAsText="1"/>
    <ignoredError sqref="F27:F44 F47:G6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3E2E-433B-4E47-94F3-D986AC76CD7B}">
  <sheetPr codeName="Tabelle2"/>
  <dimension ref="A1:AA86"/>
  <sheetViews>
    <sheetView showGridLines="0" zoomScale="95" zoomScaleNormal="95" zoomScaleSheetLayoutView="100" workbookViewId="0">
      <selection activeCell="A82" sqref="A82"/>
    </sheetView>
  </sheetViews>
  <sheetFormatPr baseColWidth="10" defaultColWidth="10.88671875" defaultRowHeight="13.8" x14ac:dyDescent="0.25"/>
  <cols>
    <col min="1" max="1" width="21.21875" style="82" customWidth="1"/>
    <col min="2" max="2" width="11.21875" style="82" customWidth="1"/>
    <col min="3" max="3" width="9.77734375" style="82" customWidth="1"/>
    <col min="4" max="4" width="9.88671875" style="82" customWidth="1"/>
    <col min="5" max="5" width="10.33203125" style="82" customWidth="1"/>
    <col min="6" max="6" width="11.21875" style="82" customWidth="1"/>
    <col min="7" max="7" width="10.109375" style="82" customWidth="1"/>
    <col min="8" max="8" width="9.33203125" style="82" customWidth="1"/>
    <col min="9" max="9" width="8.109375" style="82" customWidth="1"/>
    <col min="10" max="10" width="7.77734375" style="82" customWidth="1"/>
    <col min="11" max="11" width="10" style="82" customWidth="1"/>
    <col min="12" max="12" width="10.88671875" style="82"/>
    <col min="13" max="13" width="10.88671875" style="93"/>
    <col min="14" max="15" width="6.21875" style="93" customWidth="1"/>
    <col min="16" max="16" width="8.21875" style="93" customWidth="1"/>
    <col min="17" max="17" width="9.33203125" style="93" customWidth="1"/>
    <col min="18" max="20" width="6.88671875" style="93" customWidth="1"/>
    <col min="21" max="16384" width="10.88671875" style="93"/>
  </cols>
  <sheetData>
    <row r="1" spans="1:21" s="81" customFormat="1" ht="31.5" customHeight="1" x14ac:dyDescent="0.25">
      <c r="A1" s="78" t="s">
        <v>68</v>
      </c>
      <c r="B1" s="427"/>
      <c r="C1" s="428"/>
      <c r="D1" s="476" t="s">
        <v>329</v>
      </c>
      <c r="E1" s="477"/>
      <c r="F1" s="429"/>
      <c r="G1" s="429"/>
      <c r="H1" s="429"/>
      <c r="I1" s="430"/>
      <c r="J1" s="79" t="s">
        <v>69</v>
      </c>
      <c r="K1" s="429"/>
      <c r="L1" s="430"/>
      <c r="N1" s="80" t="s">
        <v>114</v>
      </c>
    </row>
    <row r="2" spans="1:21" s="83" customFormat="1" ht="9.4499999999999993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21" s="83" customFormat="1" ht="18.600000000000001" customHeight="1" x14ac:dyDescent="0.3">
      <c r="A3" s="124" t="s">
        <v>311</v>
      </c>
      <c r="B3" s="504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355"/>
      <c r="N3" s="438" t="s">
        <v>75</v>
      </c>
      <c r="O3" s="439"/>
    </row>
    <row r="4" spans="1:21" s="83" customFormat="1" ht="14.4" customHeight="1" x14ac:dyDescent="0.25">
      <c r="A4" s="91" t="s">
        <v>391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21" s="83" customFormat="1" ht="6" customHeight="1" x14ac:dyDescent="0.25">
      <c r="A5" s="91"/>
      <c r="B5" s="82"/>
      <c r="D5" s="82"/>
      <c r="F5" s="82"/>
      <c r="G5" s="82"/>
      <c r="H5" s="82"/>
      <c r="I5" s="82"/>
      <c r="J5" s="82"/>
      <c r="K5" s="82"/>
      <c r="L5" s="82"/>
    </row>
    <row r="6" spans="1:21" s="83" customFormat="1" ht="14.4" x14ac:dyDescent="0.3">
      <c r="A6" s="82"/>
      <c r="B6" s="82"/>
      <c r="C6" s="82"/>
      <c r="D6" s="102" t="s">
        <v>281</v>
      </c>
      <c r="E6" s="82"/>
      <c r="F6" s="82"/>
      <c r="G6" s="82"/>
      <c r="H6" s="82"/>
      <c r="I6" s="510" t="s">
        <v>280</v>
      </c>
      <c r="J6" s="511"/>
      <c r="K6" s="82"/>
      <c r="L6" s="82"/>
    </row>
    <row r="7" spans="1:21" s="101" customFormat="1" ht="66.599999999999994" customHeight="1" x14ac:dyDescent="0.25">
      <c r="A7" s="100"/>
      <c r="B7" s="77" t="s">
        <v>387</v>
      </c>
      <c r="C7" s="77" t="s">
        <v>273</v>
      </c>
      <c r="D7" s="77" t="s">
        <v>83</v>
      </c>
      <c r="E7" s="77" t="s">
        <v>327</v>
      </c>
      <c r="F7" s="77" t="s">
        <v>333</v>
      </c>
      <c r="G7" s="77" t="s">
        <v>332</v>
      </c>
      <c r="H7" s="77" t="s">
        <v>272</v>
      </c>
      <c r="I7" s="77" t="s">
        <v>331</v>
      </c>
      <c r="J7" s="77" t="s">
        <v>330</v>
      </c>
      <c r="K7" s="77" t="s">
        <v>325</v>
      </c>
      <c r="L7" s="77" t="s">
        <v>334</v>
      </c>
      <c r="R7" s="478" t="s">
        <v>267</v>
      </c>
      <c r="S7" s="479"/>
      <c r="T7" s="479"/>
      <c r="U7" s="479"/>
    </row>
    <row r="8" spans="1:21" s="83" customFormat="1" ht="13.2" x14ac:dyDescent="0.25">
      <c r="A8" s="2" t="s">
        <v>70</v>
      </c>
      <c r="B8" s="3">
        <v>1</v>
      </c>
      <c r="C8" s="3">
        <v>5</v>
      </c>
      <c r="D8" s="3">
        <v>10</v>
      </c>
      <c r="E8" s="3">
        <v>2</v>
      </c>
      <c r="F8" s="3">
        <v>50</v>
      </c>
      <c r="G8" s="3">
        <v>50</v>
      </c>
      <c r="H8" s="3">
        <v>15</v>
      </c>
      <c r="I8" s="3">
        <v>1000</v>
      </c>
      <c r="J8" s="3">
        <v>240</v>
      </c>
      <c r="K8" s="5">
        <f>(ROUNDUP((((I8-(2*H8))/F8) +1+(E8-1)),0))*(ROUNDUP((J8/(C8+(D8/10))*B8),0))</f>
        <v>880</v>
      </c>
      <c r="L8" s="87">
        <f>IF(ROUNDUP(((J8/G8)+1),0)*ROUNDUP(((I8/F8)+1),0)&lt;1.1,"0",ROUNDUP(((J8/G8)+1),0)*ROUNDUP(((I8/F8)+1),0))</f>
        <v>126</v>
      </c>
      <c r="R8" s="84" t="s">
        <v>138</v>
      </c>
      <c r="S8" s="82"/>
      <c r="T8" s="82"/>
    </row>
    <row r="9" spans="1:21" s="83" customFormat="1" ht="13.2" x14ac:dyDescent="0.25">
      <c r="A9" s="2" t="s">
        <v>80</v>
      </c>
      <c r="B9" s="3">
        <v>0.1</v>
      </c>
      <c r="C9" s="3">
        <v>0.1</v>
      </c>
      <c r="D9" s="3">
        <v>0</v>
      </c>
      <c r="E9" s="3">
        <v>0</v>
      </c>
      <c r="F9" s="3">
        <v>50</v>
      </c>
      <c r="G9" s="3">
        <v>50</v>
      </c>
      <c r="H9" s="3">
        <v>0</v>
      </c>
      <c r="I9" s="3">
        <v>0</v>
      </c>
      <c r="J9" s="3">
        <v>0</v>
      </c>
      <c r="K9" s="5">
        <f t="shared" ref="K9:K12" si="0">(ROUNDUP((((I9-(2*H9))/F9) +1+(E9-1)),0))*(ROUNDUP((J9/(C9+(D9/10))*B9),0))</f>
        <v>0</v>
      </c>
      <c r="L9" s="87" t="str">
        <f>IF(ROUNDUP(((J9/G9)+1),0)*ROUNDUP(((I9/F9)+1),0)&lt;1.1,"0",ROUNDUP(((J9/G9)+1),0)*ROUNDUP(((I9/F9)+1),0))</f>
        <v>0</v>
      </c>
      <c r="R9" s="82" t="s">
        <v>139</v>
      </c>
      <c r="S9" s="82"/>
      <c r="T9" s="82"/>
    </row>
    <row r="10" spans="1:21" s="83" customFormat="1" ht="13.2" x14ac:dyDescent="0.25">
      <c r="A10" s="2" t="s">
        <v>71</v>
      </c>
      <c r="B10" s="3">
        <v>0.1</v>
      </c>
      <c r="C10" s="3">
        <v>0.1</v>
      </c>
      <c r="D10" s="3">
        <v>0</v>
      </c>
      <c r="E10" s="3">
        <v>0</v>
      </c>
      <c r="F10" s="3">
        <v>50</v>
      </c>
      <c r="G10" s="3">
        <v>50</v>
      </c>
      <c r="H10" s="3">
        <v>0</v>
      </c>
      <c r="I10" s="3">
        <v>0</v>
      </c>
      <c r="J10" s="3">
        <v>0</v>
      </c>
      <c r="K10" s="5">
        <f t="shared" si="0"/>
        <v>0</v>
      </c>
      <c r="L10" s="87" t="str">
        <f>IF(ROUNDUP(((J10/G10)+1),0)*ROUNDUP(((I10/F10)+1),0)&lt;1.1,"0",ROUNDUP(((J10/G10)+1),0)*ROUNDUP(((I10/F10)+1),0))</f>
        <v>0</v>
      </c>
      <c r="R10" s="82" t="s">
        <v>142</v>
      </c>
      <c r="S10" s="82"/>
      <c r="T10" s="82"/>
    </row>
    <row r="11" spans="1:21" s="83" customFormat="1" ht="13.2" x14ac:dyDescent="0.25">
      <c r="A11" s="2" t="s">
        <v>81</v>
      </c>
      <c r="B11" s="3">
        <v>0.1</v>
      </c>
      <c r="C11" s="3">
        <v>0.1</v>
      </c>
      <c r="D11" s="3">
        <v>0</v>
      </c>
      <c r="E11" s="3">
        <v>0</v>
      </c>
      <c r="F11" s="3">
        <v>50</v>
      </c>
      <c r="G11" s="3">
        <v>50</v>
      </c>
      <c r="H11" s="3">
        <v>0</v>
      </c>
      <c r="I11" s="3">
        <v>0</v>
      </c>
      <c r="J11" s="3">
        <v>0</v>
      </c>
      <c r="K11" s="5">
        <f t="shared" si="0"/>
        <v>0</v>
      </c>
      <c r="L11" s="87" t="str">
        <f>IF(ROUNDUP(((J11/G11)+1),0)*ROUNDUP(((I11/F11)+1),0)&lt;1.1,"0",ROUNDUP(((J11/G11)+1),0)*ROUNDUP(((I11/F11)+1),0))</f>
        <v>0</v>
      </c>
      <c r="R11" s="82" t="s">
        <v>145</v>
      </c>
      <c r="S11" s="82"/>
      <c r="T11" s="82"/>
    </row>
    <row r="12" spans="1:21" s="83" customFormat="1" thickBot="1" x14ac:dyDescent="0.3">
      <c r="A12" s="2" t="s">
        <v>82</v>
      </c>
      <c r="B12" s="3">
        <v>0.1</v>
      </c>
      <c r="C12" s="3">
        <v>0.1</v>
      </c>
      <c r="D12" s="3">
        <v>0</v>
      </c>
      <c r="E12" s="3">
        <v>0</v>
      </c>
      <c r="F12" s="3">
        <v>50</v>
      </c>
      <c r="G12" s="3">
        <v>50</v>
      </c>
      <c r="H12" s="3">
        <v>0</v>
      </c>
      <c r="I12" s="271">
        <v>0</v>
      </c>
      <c r="J12" s="271">
        <v>0</v>
      </c>
      <c r="K12" s="263">
        <f t="shared" si="0"/>
        <v>0</v>
      </c>
      <c r="L12" s="265" t="str">
        <f>IF(ROUNDUP(((J12/G12)+1),0)*ROUNDUP(((I12/F12)+1),0)&lt;1.1,"0",ROUNDUP(((J12/G12)+1),0)*ROUNDUP(((I12/F12)+1),0))</f>
        <v>0</v>
      </c>
      <c r="R12" s="82"/>
      <c r="S12" s="82"/>
      <c r="T12" s="82"/>
    </row>
    <row r="13" spans="1:21" s="83" customFormat="1" ht="14.4" thickBot="1" x14ac:dyDescent="0.3">
      <c r="A13" s="6"/>
      <c r="B13" s="7"/>
      <c r="C13" s="7"/>
      <c r="D13" s="7"/>
      <c r="E13" s="7"/>
      <c r="F13" s="7"/>
      <c r="G13" s="7"/>
      <c r="H13" s="7"/>
      <c r="I13" s="483" t="s">
        <v>300</v>
      </c>
      <c r="J13" s="484"/>
      <c r="K13" s="270">
        <f>SUM(K8:K12)</f>
        <v>880</v>
      </c>
      <c r="L13" s="270">
        <f>SUM(L8:L12)</f>
        <v>126</v>
      </c>
      <c r="R13" s="84" t="s">
        <v>140</v>
      </c>
      <c r="S13" s="82"/>
      <c r="T13" s="82"/>
    </row>
    <row r="14" spans="1:21" s="83" customFormat="1" ht="13.2" x14ac:dyDescent="0.25">
      <c r="A14" s="2" t="s">
        <v>72</v>
      </c>
      <c r="B14" s="3">
        <v>0.1</v>
      </c>
      <c r="C14" s="3">
        <v>0.1</v>
      </c>
      <c r="D14" s="3">
        <v>0</v>
      </c>
      <c r="E14" s="3">
        <v>0</v>
      </c>
      <c r="F14" s="3">
        <v>50</v>
      </c>
      <c r="G14" s="3">
        <v>50</v>
      </c>
      <c r="H14" s="3">
        <v>0</v>
      </c>
      <c r="I14" s="272">
        <v>0</v>
      </c>
      <c r="J14" s="272">
        <v>0</v>
      </c>
      <c r="K14" s="267">
        <f>(ROUNDUP((((I14-(2*H14))/F14) +1+(E14-1)),0))*(ROUNDUP((J14/(C14+(D14/10))*B14),0))/2</f>
        <v>0</v>
      </c>
      <c r="L14" s="269" t="str">
        <f>IF(ROUNDUP(((J14/G14)+1),0)*ROUNDUP(((I14/F14)+1),0)/2&lt;1.1,"0",ROUNDUP(((J14/G14)+1),0)*ROUNDUP(((I14/F14)+1),0)/2)</f>
        <v>0</v>
      </c>
      <c r="R14" s="82" t="s">
        <v>143</v>
      </c>
      <c r="S14" s="82"/>
      <c r="T14" s="82"/>
    </row>
    <row r="15" spans="1:21" s="83" customFormat="1" ht="13.2" x14ac:dyDescent="0.25">
      <c r="A15" s="2" t="s">
        <v>73</v>
      </c>
      <c r="B15" s="3">
        <v>0.1</v>
      </c>
      <c r="C15" s="3">
        <v>0.1</v>
      </c>
      <c r="D15" s="3">
        <v>0</v>
      </c>
      <c r="E15" s="3">
        <v>0</v>
      </c>
      <c r="F15" s="3">
        <v>50</v>
      </c>
      <c r="G15" s="3">
        <v>50</v>
      </c>
      <c r="H15" s="3">
        <v>0</v>
      </c>
      <c r="I15" s="3">
        <v>0</v>
      </c>
      <c r="J15" s="3">
        <v>0</v>
      </c>
      <c r="K15" s="5">
        <f t="shared" ref="K15:K17" si="1">(ROUNDUP((((I15-(2*H15))/F15) +1+(E15-1)),0))*(ROUNDUP((J15/(C15+(D15/10))*B15),0))/2</f>
        <v>0</v>
      </c>
      <c r="L15" s="87" t="str">
        <f t="shared" ref="L15:L17" si="2">IF(ROUNDUP(((J15/G15)+1),0)*ROUNDUP(((I15/F15)+1),0)/2&lt;1.1,"0",ROUNDUP(((J15/G15)+1),0)*ROUNDUP(((I15/F15)+1),0)/2)</f>
        <v>0</v>
      </c>
      <c r="R15" s="82" t="s">
        <v>144</v>
      </c>
      <c r="S15" s="82"/>
      <c r="T15" s="82"/>
    </row>
    <row r="16" spans="1:21" s="83" customFormat="1" ht="13.2" x14ac:dyDescent="0.25">
      <c r="A16" s="2" t="s">
        <v>74</v>
      </c>
      <c r="B16" s="3">
        <v>0.1</v>
      </c>
      <c r="C16" s="3">
        <v>0.1</v>
      </c>
      <c r="D16" s="3">
        <v>0</v>
      </c>
      <c r="E16" s="3">
        <v>0</v>
      </c>
      <c r="F16" s="3">
        <v>50</v>
      </c>
      <c r="G16" s="3">
        <v>50</v>
      </c>
      <c r="H16" s="3">
        <v>0</v>
      </c>
      <c r="I16" s="3">
        <v>0</v>
      </c>
      <c r="J16" s="3">
        <v>0</v>
      </c>
      <c r="K16" s="5">
        <f t="shared" si="1"/>
        <v>0</v>
      </c>
      <c r="L16" s="87" t="str">
        <f t="shared" si="2"/>
        <v>0</v>
      </c>
      <c r="R16" s="82"/>
      <c r="S16" s="82"/>
      <c r="T16" s="82"/>
    </row>
    <row r="17" spans="1:24" s="83" customFormat="1" thickBot="1" x14ac:dyDescent="0.3">
      <c r="A17" s="2" t="s">
        <v>265</v>
      </c>
      <c r="B17" s="3">
        <v>0.1</v>
      </c>
      <c r="C17" s="3">
        <v>0.1</v>
      </c>
      <c r="D17" s="3">
        <v>0</v>
      </c>
      <c r="E17" s="3">
        <v>0</v>
      </c>
      <c r="F17" s="3">
        <v>50</v>
      </c>
      <c r="G17" s="3">
        <v>50</v>
      </c>
      <c r="H17" s="3">
        <v>0</v>
      </c>
      <c r="I17" s="271">
        <v>0</v>
      </c>
      <c r="J17" s="271">
        <v>0</v>
      </c>
      <c r="K17" s="263">
        <f t="shared" si="1"/>
        <v>0</v>
      </c>
      <c r="L17" s="265" t="str">
        <f t="shared" si="2"/>
        <v>0</v>
      </c>
      <c r="R17" s="84" t="s">
        <v>141</v>
      </c>
      <c r="S17" s="82"/>
      <c r="T17" s="82"/>
    </row>
    <row r="18" spans="1:24" s="83" customFormat="1" ht="14.4" thickBot="1" x14ac:dyDescent="0.3">
      <c r="A18" s="6"/>
      <c r="B18" s="6"/>
      <c r="C18" s="6"/>
      <c r="D18" s="6"/>
      <c r="E18" s="6"/>
      <c r="F18" s="6"/>
      <c r="G18" s="6"/>
      <c r="H18" s="6"/>
      <c r="I18" s="483" t="s">
        <v>278</v>
      </c>
      <c r="J18" s="484"/>
      <c r="K18" s="270">
        <f>SUM(K14:K17)</f>
        <v>0</v>
      </c>
      <c r="L18" s="270">
        <f>SUM(L14:L17)</f>
        <v>0</v>
      </c>
      <c r="R18" s="82" t="s">
        <v>173</v>
      </c>
      <c r="S18" s="82"/>
      <c r="T18" s="82"/>
    </row>
    <row r="19" spans="1:24" s="83" customFormat="1" ht="15" thickBot="1" x14ac:dyDescent="0.35">
      <c r="A19" s="88"/>
      <c r="B19" s="122" t="s">
        <v>284</v>
      </c>
      <c r="C19" s="123" t="s">
        <v>286</v>
      </c>
      <c r="D19" s="128" t="s">
        <v>285</v>
      </c>
      <c r="E19" s="88"/>
      <c r="F19" s="88"/>
      <c r="G19" s="88"/>
      <c r="H19" s="88"/>
      <c r="I19" s="442" t="s">
        <v>76</v>
      </c>
      <c r="J19" s="443"/>
      <c r="K19" s="119">
        <f>SUM(K18,K13)</f>
        <v>880</v>
      </c>
      <c r="L19" s="120">
        <f>SUM(L18,L13)</f>
        <v>126</v>
      </c>
      <c r="R19" s="82" t="s">
        <v>172</v>
      </c>
      <c r="S19" s="82"/>
      <c r="T19" s="82"/>
    </row>
    <row r="20" spans="1:24" s="83" customFormat="1" ht="13.95" customHeight="1" x14ac:dyDescent="0.25">
      <c r="A20" s="2" t="s">
        <v>287</v>
      </c>
      <c r="B20" s="4">
        <v>20</v>
      </c>
      <c r="C20" s="4">
        <v>30</v>
      </c>
      <c r="D20" s="4">
        <v>30</v>
      </c>
      <c r="E20" s="82"/>
      <c r="F20" s="64"/>
      <c r="G20" s="86"/>
      <c r="H20" s="86"/>
      <c r="S20" s="82"/>
      <c r="T20" s="82"/>
    </row>
    <row r="21" spans="1:24" s="83" customFormat="1" ht="13.95" customHeight="1" x14ac:dyDescent="0.25">
      <c r="A21" s="82"/>
      <c r="B21" s="82"/>
      <c r="C21" s="82"/>
      <c r="D21" s="82"/>
      <c r="E21" s="82"/>
      <c r="F21" s="64"/>
      <c r="G21" s="86"/>
      <c r="H21" s="86"/>
      <c r="S21" s="82"/>
      <c r="T21" s="82"/>
    </row>
    <row r="22" spans="1:24" s="83" customFormat="1" ht="33.6" customHeight="1" x14ac:dyDescent="0.25">
      <c r="A22" s="220" t="s">
        <v>451</v>
      </c>
      <c r="B22" s="482" t="s">
        <v>429</v>
      </c>
      <c r="C22" s="482"/>
      <c r="D22" s="482"/>
      <c r="E22" s="129" t="s">
        <v>77</v>
      </c>
      <c r="F22" s="130" t="s">
        <v>328</v>
      </c>
      <c r="G22" s="130" t="s">
        <v>342</v>
      </c>
      <c r="H22" s="130" t="s">
        <v>426</v>
      </c>
    </row>
    <row r="23" spans="1:24" s="83" customFormat="1" ht="13.95" customHeight="1" x14ac:dyDescent="0.25">
      <c r="A23" s="833" t="s">
        <v>136</v>
      </c>
      <c r="B23" s="662" t="s">
        <v>86</v>
      </c>
      <c r="C23" s="663"/>
      <c r="D23" s="664"/>
      <c r="E23" s="669"/>
      <c r="F23" s="667"/>
      <c r="G23" s="668"/>
      <c r="H23" s="107"/>
      <c r="I23" s="90" t="s">
        <v>264</v>
      </c>
      <c r="J23" s="82"/>
    </row>
    <row r="24" spans="1:24" s="83" customFormat="1" ht="8.4" customHeight="1" x14ac:dyDescent="0.25">
      <c r="A24" s="91"/>
      <c r="B24" s="103"/>
      <c r="C24" s="104"/>
      <c r="D24" s="104"/>
      <c r="E24" s="105"/>
      <c r="F24" s="105"/>
      <c r="G24" s="105"/>
      <c r="H24" s="82"/>
      <c r="I24" s="82"/>
      <c r="J24" s="82"/>
    </row>
    <row r="25" spans="1:24" s="83" customFormat="1" ht="33.6" customHeight="1" x14ac:dyDescent="0.25">
      <c r="A25" s="750" t="s">
        <v>451</v>
      </c>
      <c r="B25" s="512" t="s">
        <v>430</v>
      </c>
      <c r="C25" s="512"/>
      <c r="D25" s="512"/>
      <c r="E25" s="125" t="s">
        <v>77</v>
      </c>
      <c r="F25" s="184" t="s">
        <v>424</v>
      </c>
      <c r="G25" s="126" t="s">
        <v>371</v>
      </c>
      <c r="H25" s="126" t="s">
        <v>425</v>
      </c>
      <c r="I25" s="82"/>
      <c r="J25" s="82"/>
    </row>
    <row r="26" spans="1:24" s="83" customFormat="1" ht="13.95" customHeight="1" x14ac:dyDescent="0.25">
      <c r="A26" s="833" t="s">
        <v>136</v>
      </c>
      <c r="B26" s="662" t="s">
        <v>277</v>
      </c>
      <c r="C26" s="665"/>
      <c r="D26" s="666"/>
      <c r="E26" s="661"/>
      <c r="F26" s="661"/>
      <c r="G26" s="127"/>
      <c r="H26" s="127"/>
      <c r="I26" s="90" t="s">
        <v>261</v>
      </c>
      <c r="J26" s="82"/>
    </row>
    <row r="27" spans="1:24" s="83" customFormat="1" ht="37.200000000000003" customHeight="1" x14ac:dyDescent="0.25">
      <c r="A27" s="91"/>
      <c r="B27" s="12"/>
      <c r="C27" s="13"/>
      <c r="D27" s="13"/>
      <c r="E27" s="14"/>
      <c r="F27" s="14"/>
      <c r="G27" s="14"/>
      <c r="H27" s="82"/>
      <c r="I27" s="82"/>
      <c r="J27" s="82"/>
    </row>
    <row r="28" spans="1:24" s="83" customFormat="1" ht="40.950000000000003" customHeight="1" thickBot="1" x14ac:dyDescent="0.3">
      <c r="A28" s="82"/>
      <c r="B28" s="82"/>
      <c r="C28" s="82"/>
      <c r="D28" s="82"/>
      <c r="E28" s="82"/>
      <c r="F28" s="82"/>
      <c r="G28" s="82"/>
      <c r="H28" s="82"/>
      <c r="I28" s="82"/>
      <c r="J28" s="82"/>
    </row>
    <row r="29" spans="1:24" s="83" customFormat="1" ht="36" customHeight="1" thickBot="1" x14ac:dyDescent="0.3">
      <c r="A29" s="186" t="s">
        <v>135</v>
      </c>
      <c r="B29" s="481" t="s">
        <v>2</v>
      </c>
      <c r="C29" s="481"/>
      <c r="D29" s="481"/>
      <c r="E29" s="187" t="s">
        <v>3</v>
      </c>
      <c r="F29" s="188" t="s">
        <v>322</v>
      </c>
      <c r="G29" s="188" t="s">
        <v>422</v>
      </c>
      <c r="H29" s="309" t="s">
        <v>421</v>
      </c>
      <c r="I29" s="188" t="s">
        <v>423</v>
      </c>
      <c r="J29" s="189" t="s">
        <v>420</v>
      </c>
    </row>
    <row r="30" spans="1:24" s="83" customFormat="1" ht="12" customHeight="1" x14ac:dyDescent="0.25">
      <c r="A30" s="131" t="s">
        <v>323</v>
      </c>
      <c r="B30" s="447" t="s">
        <v>175</v>
      </c>
      <c r="C30" s="448"/>
      <c r="D30" s="449"/>
      <c r="E30" s="637" t="s">
        <v>176</v>
      </c>
      <c r="F30" s="132">
        <f>40-18-3.5</f>
        <v>18.5</v>
      </c>
      <c r="G30" s="134">
        <v>40</v>
      </c>
      <c r="H30" s="323">
        <v>18</v>
      </c>
      <c r="I30" s="133">
        <v>500</v>
      </c>
      <c r="J30" s="278">
        <f t="shared" ref="J30:J61" si="3">ROUNDUP(($K$19/I30),0)</f>
        <v>2</v>
      </c>
      <c r="L30" s="496" t="s">
        <v>279</v>
      </c>
      <c r="M30" s="497"/>
      <c r="O30" s="171" t="s">
        <v>171</v>
      </c>
      <c r="P30" s="101"/>
      <c r="Q30" s="101"/>
      <c r="R30" s="101"/>
      <c r="S30" s="101"/>
      <c r="T30" s="101"/>
      <c r="U30" s="101"/>
      <c r="V30" s="101"/>
      <c r="W30" s="101"/>
      <c r="X30" s="101"/>
    </row>
    <row r="31" spans="1:24" s="83" customFormat="1" ht="12" customHeight="1" x14ac:dyDescent="0.25">
      <c r="A31" s="135"/>
      <c r="B31" s="454" t="s">
        <v>177</v>
      </c>
      <c r="C31" s="452"/>
      <c r="D31" s="453"/>
      <c r="E31" s="638" t="s">
        <v>178</v>
      </c>
      <c r="F31" s="106">
        <f>45-18-3.5</f>
        <v>23.5</v>
      </c>
      <c r="G31" s="108">
        <v>45</v>
      </c>
      <c r="H31" s="324">
        <v>18</v>
      </c>
      <c r="I31" s="107">
        <v>500</v>
      </c>
      <c r="J31" s="279">
        <f t="shared" si="3"/>
        <v>2</v>
      </c>
      <c r="L31" s="497"/>
      <c r="M31" s="497"/>
    </row>
    <row r="32" spans="1:24" s="83" customFormat="1" ht="12" customHeight="1" x14ac:dyDescent="0.25">
      <c r="A32" s="135"/>
      <c r="B32" s="454" t="s">
        <v>179</v>
      </c>
      <c r="C32" s="452"/>
      <c r="D32" s="453"/>
      <c r="E32" s="638" t="s">
        <v>180</v>
      </c>
      <c r="F32" s="106">
        <f>50-21-3.5</f>
        <v>25.5</v>
      </c>
      <c r="G32" s="108">
        <v>50</v>
      </c>
      <c r="H32" s="324">
        <v>21</v>
      </c>
      <c r="I32" s="107">
        <v>500</v>
      </c>
      <c r="J32" s="279">
        <f t="shared" si="3"/>
        <v>2</v>
      </c>
      <c r="L32" s="497"/>
      <c r="M32" s="497"/>
      <c r="O32" s="172" t="s">
        <v>335</v>
      </c>
      <c r="P32" s="94"/>
      <c r="Q32" s="82"/>
      <c r="R32" s="82"/>
      <c r="S32" s="82"/>
      <c r="T32" s="82"/>
      <c r="U32" s="82"/>
      <c r="V32" s="82"/>
      <c r="W32" s="82"/>
      <c r="X32" s="82"/>
    </row>
    <row r="33" spans="1:24" s="83" customFormat="1" ht="12" customHeight="1" x14ac:dyDescent="0.25">
      <c r="A33" s="135"/>
      <c r="B33" s="454" t="s">
        <v>181</v>
      </c>
      <c r="C33" s="452"/>
      <c r="D33" s="453"/>
      <c r="E33" s="638" t="s">
        <v>182</v>
      </c>
      <c r="F33" s="106">
        <f>60-24-3.5</f>
        <v>32.5</v>
      </c>
      <c r="G33" s="108">
        <v>60</v>
      </c>
      <c r="H33" s="324">
        <v>24</v>
      </c>
      <c r="I33" s="107">
        <v>250</v>
      </c>
      <c r="J33" s="279">
        <f t="shared" si="3"/>
        <v>4</v>
      </c>
      <c r="O33" s="486" t="s">
        <v>170</v>
      </c>
      <c r="P33" s="487"/>
      <c r="Q33" s="487"/>
      <c r="R33" s="488" t="s">
        <v>155</v>
      </c>
      <c r="S33" s="488"/>
      <c r="T33" s="488" t="s">
        <v>156</v>
      </c>
      <c r="U33" s="488"/>
      <c r="V33" s="82"/>
      <c r="W33" s="82"/>
      <c r="X33" s="82"/>
    </row>
    <row r="34" spans="1:24" s="83" customFormat="1" ht="12" customHeight="1" x14ac:dyDescent="0.25">
      <c r="A34" s="135"/>
      <c r="B34" s="454" t="s">
        <v>183</v>
      </c>
      <c r="C34" s="452"/>
      <c r="D34" s="453"/>
      <c r="E34" s="639" t="s">
        <v>184</v>
      </c>
      <c r="F34" s="106">
        <f>40-18-3.5</f>
        <v>18.5</v>
      </c>
      <c r="G34" s="108">
        <v>40</v>
      </c>
      <c r="H34" s="324">
        <v>18</v>
      </c>
      <c r="I34" s="109">
        <v>500</v>
      </c>
      <c r="J34" s="279">
        <f t="shared" si="3"/>
        <v>2</v>
      </c>
      <c r="L34" s="498" t="s">
        <v>388</v>
      </c>
      <c r="M34" s="499"/>
      <c r="O34" s="486" t="s">
        <v>320</v>
      </c>
      <c r="P34" s="487"/>
      <c r="Q34" s="487"/>
      <c r="R34" s="95" t="s">
        <v>157</v>
      </c>
      <c r="S34" s="95" t="s">
        <v>158</v>
      </c>
      <c r="T34" s="95" t="s">
        <v>157</v>
      </c>
      <c r="U34" s="95" t="s">
        <v>158</v>
      </c>
      <c r="V34" s="82"/>
      <c r="W34" s="82"/>
      <c r="X34" s="82"/>
    </row>
    <row r="35" spans="1:24" s="83" customFormat="1" ht="12" customHeight="1" x14ac:dyDescent="0.25">
      <c r="A35" s="136" t="s">
        <v>245</v>
      </c>
      <c r="B35" s="454" t="s">
        <v>185</v>
      </c>
      <c r="C35" s="452"/>
      <c r="D35" s="453"/>
      <c r="E35" s="639" t="s">
        <v>186</v>
      </c>
      <c r="F35" s="106">
        <f>45-18-3.5</f>
        <v>23.5</v>
      </c>
      <c r="G35" s="108">
        <v>45</v>
      </c>
      <c r="H35" s="324">
        <v>18</v>
      </c>
      <c r="I35" s="109">
        <v>500</v>
      </c>
      <c r="J35" s="279">
        <f t="shared" si="3"/>
        <v>2</v>
      </c>
      <c r="L35" s="500"/>
      <c r="M35" s="500"/>
      <c r="O35" s="489" t="s">
        <v>321</v>
      </c>
      <c r="P35" s="490"/>
      <c r="Q35" s="63" t="s">
        <v>159</v>
      </c>
      <c r="R35" s="96">
        <v>76.49603890425729</v>
      </c>
      <c r="S35" s="96">
        <v>45.103796523736598</v>
      </c>
      <c r="T35" s="96">
        <v>60.489731371476182</v>
      </c>
      <c r="U35" s="96">
        <v>35.666115195445862</v>
      </c>
      <c r="V35" s="82"/>
      <c r="W35" s="82"/>
      <c r="X35" s="82"/>
    </row>
    <row r="36" spans="1:24" s="83" customFormat="1" ht="12" customHeight="1" x14ac:dyDescent="0.25">
      <c r="A36" s="136" t="s">
        <v>244</v>
      </c>
      <c r="B36" s="454" t="s">
        <v>187</v>
      </c>
      <c r="C36" s="452"/>
      <c r="D36" s="453"/>
      <c r="E36" s="639" t="s">
        <v>188</v>
      </c>
      <c r="F36" s="106">
        <f>50-21-3.5</f>
        <v>25.5</v>
      </c>
      <c r="G36" s="108">
        <v>50</v>
      </c>
      <c r="H36" s="324">
        <v>21</v>
      </c>
      <c r="I36" s="109">
        <v>500</v>
      </c>
      <c r="J36" s="279">
        <f t="shared" si="3"/>
        <v>2</v>
      </c>
      <c r="L36" s="501" t="s">
        <v>296</v>
      </c>
      <c r="M36" s="502"/>
      <c r="O36" s="491"/>
      <c r="P36" s="492"/>
      <c r="Q36" s="63" t="s">
        <v>160</v>
      </c>
      <c r="R36" s="96">
        <v>65.277503317253277</v>
      </c>
      <c r="S36" s="96">
        <v>38.489093937059707</v>
      </c>
      <c r="T36" s="96">
        <v>53.401690033607139</v>
      </c>
      <c r="U36" s="96">
        <v>31.486845538683454</v>
      </c>
      <c r="V36" s="82"/>
      <c r="W36" s="82"/>
      <c r="X36" s="82"/>
    </row>
    <row r="37" spans="1:24" s="83" customFormat="1" ht="12" customHeight="1" x14ac:dyDescent="0.25">
      <c r="A37" s="135"/>
      <c r="B37" s="471" t="s">
        <v>189</v>
      </c>
      <c r="C37" s="452"/>
      <c r="D37" s="453"/>
      <c r="E37" s="639" t="s">
        <v>190</v>
      </c>
      <c r="F37" s="106">
        <f>60-24-3.5</f>
        <v>32.5</v>
      </c>
      <c r="G37" s="108">
        <v>60</v>
      </c>
      <c r="H37" s="324">
        <v>24</v>
      </c>
      <c r="I37" s="109">
        <v>250</v>
      </c>
      <c r="J37" s="279">
        <f t="shared" si="3"/>
        <v>4</v>
      </c>
      <c r="O37" s="493"/>
      <c r="P37" s="494"/>
      <c r="Q37" s="63" t="s">
        <v>161</v>
      </c>
      <c r="R37" s="96">
        <v>59.446627424799878</v>
      </c>
      <c r="S37" s="96">
        <v>35.05107749103766</v>
      </c>
      <c r="T37" s="96">
        <v>49.506733716280962</v>
      </c>
      <c r="U37" s="96">
        <v>29.190291106297739</v>
      </c>
      <c r="V37" s="82"/>
      <c r="W37" s="82"/>
      <c r="X37" s="82"/>
    </row>
    <row r="38" spans="1:24" s="83" customFormat="1" ht="12" customHeight="1" x14ac:dyDescent="0.25">
      <c r="A38" s="135"/>
      <c r="B38" s="471" t="s">
        <v>191</v>
      </c>
      <c r="C38" s="452"/>
      <c r="D38" s="453"/>
      <c r="E38" s="639" t="s">
        <v>192</v>
      </c>
      <c r="F38" s="106">
        <f>70-24-3.5</f>
        <v>42.5</v>
      </c>
      <c r="G38" s="110">
        <v>70</v>
      </c>
      <c r="H38" s="325">
        <v>24</v>
      </c>
      <c r="I38" s="109">
        <v>200</v>
      </c>
      <c r="J38" s="279">
        <f t="shared" si="3"/>
        <v>5</v>
      </c>
      <c r="L38" s="425" t="s">
        <v>382</v>
      </c>
      <c r="M38" s="503"/>
      <c r="O38" s="82"/>
      <c r="P38" s="94"/>
      <c r="Q38" s="82"/>
      <c r="R38" s="82"/>
      <c r="S38" s="82"/>
      <c r="T38" s="82"/>
      <c r="U38" s="82"/>
      <c r="V38" s="82"/>
      <c r="W38" s="82"/>
      <c r="X38" s="82"/>
    </row>
    <row r="39" spans="1:24" s="83" customFormat="1" ht="12" customHeight="1" thickBot="1" x14ac:dyDescent="0.3">
      <c r="A39" s="137"/>
      <c r="B39" s="472" t="s">
        <v>193</v>
      </c>
      <c r="C39" s="469"/>
      <c r="D39" s="470"/>
      <c r="E39" s="640" t="s">
        <v>194</v>
      </c>
      <c r="F39" s="138">
        <f>80-24-3.5</f>
        <v>52.5</v>
      </c>
      <c r="G39" s="140">
        <v>80</v>
      </c>
      <c r="H39" s="326">
        <v>24</v>
      </c>
      <c r="I39" s="139">
        <v>200</v>
      </c>
      <c r="J39" s="280">
        <f t="shared" si="3"/>
        <v>5</v>
      </c>
      <c r="L39" s="503"/>
      <c r="M39" s="503"/>
      <c r="O39" s="82"/>
      <c r="P39" s="94"/>
      <c r="Q39" s="82"/>
      <c r="R39" s="82"/>
      <c r="S39" s="82"/>
      <c r="T39" s="82"/>
      <c r="U39" s="82"/>
      <c r="V39" s="82"/>
      <c r="W39" s="82"/>
      <c r="X39" s="82"/>
    </row>
    <row r="40" spans="1:24" s="83" customFormat="1" ht="12.6" customHeight="1" x14ac:dyDescent="0.25">
      <c r="A40" s="131" t="s">
        <v>324</v>
      </c>
      <c r="B40" s="473" t="s">
        <v>40</v>
      </c>
      <c r="C40" s="474"/>
      <c r="D40" s="475"/>
      <c r="E40" s="641" t="s">
        <v>41</v>
      </c>
      <c r="F40" s="132">
        <f>40-18-3.5</f>
        <v>18.5</v>
      </c>
      <c r="G40" s="142">
        <v>40</v>
      </c>
      <c r="H40" s="327">
        <v>18</v>
      </c>
      <c r="I40" s="141">
        <v>500</v>
      </c>
      <c r="J40" s="278">
        <f t="shared" si="3"/>
        <v>2</v>
      </c>
      <c r="L40" s="503"/>
      <c r="M40" s="503"/>
      <c r="O40" s="37" t="s">
        <v>162</v>
      </c>
      <c r="P40" s="94"/>
      <c r="Q40" s="82"/>
      <c r="R40" s="82"/>
      <c r="S40" s="82"/>
      <c r="T40" s="82"/>
      <c r="U40" s="82"/>
      <c r="V40" s="82"/>
      <c r="W40" s="82"/>
      <c r="X40" s="82"/>
    </row>
    <row r="41" spans="1:24" s="83" customFormat="1" ht="12.6" customHeight="1" x14ac:dyDescent="0.25">
      <c r="A41" s="135"/>
      <c r="B41" s="455" t="s">
        <v>42</v>
      </c>
      <c r="C41" s="456"/>
      <c r="D41" s="457"/>
      <c r="E41" s="642" t="s">
        <v>43</v>
      </c>
      <c r="F41" s="106">
        <f>45-18-3.5</f>
        <v>23.5</v>
      </c>
      <c r="G41" s="110">
        <v>45</v>
      </c>
      <c r="H41" s="325">
        <v>18</v>
      </c>
      <c r="I41" s="109">
        <v>500</v>
      </c>
      <c r="J41" s="279">
        <f t="shared" si="3"/>
        <v>2</v>
      </c>
      <c r="L41" s="503"/>
      <c r="M41" s="503"/>
      <c r="O41" s="82" t="s">
        <v>163</v>
      </c>
      <c r="P41" s="440" t="s">
        <v>164</v>
      </c>
      <c r="Q41" s="495"/>
      <c r="R41" s="495"/>
      <c r="S41" s="495"/>
      <c r="T41" s="495"/>
      <c r="U41" s="495"/>
      <c r="V41" s="495"/>
      <c r="W41" s="495"/>
      <c r="X41" s="495"/>
    </row>
    <row r="42" spans="1:24" s="83" customFormat="1" ht="12.6" customHeight="1" x14ac:dyDescent="0.25">
      <c r="A42" s="135"/>
      <c r="B42" s="455" t="s">
        <v>44</v>
      </c>
      <c r="C42" s="456"/>
      <c r="D42" s="457"/>
      <c r="E42" s="642" t="s">
        <v>45</v>
      </c>
      <c r="F42" s="106">
        <f>50-21-3.5</f>
        <v>25.5</v>
      </c>
      <c r="G42" s="110">
        <v>50</v>
      </c>
      <c r="H42" s="325">
        <v>21</v>
      </c>
      <c r="I42" s="109">
        <v>500</v>
      </c>
      <c r="J42" s="279">
        <f t="shared" si="3"/>
        <v>2</v>
      </c>
      <c r="L42" s="503"/>
      <c r="M42" s="503"/>
      <c r="O42" s="97" t="s">
        <v>163</v>
      </c>
      <c r="P42" s="440" t="s">
        <v>233</v>
      </c>
      <c r="Q42" s="387"/>
      <c r="R42" s="387"/>
      <c r="S42" s="387"/>
      <c r="T42" s="387"/>
      <c r="U42" s="387"/>
      <c r="V42" s="387"/>
      <c r="W42" s="387"/>
      <c r="X42" s="387"/>
    </row>
    <row r="43" spans="1:24" s="83" customFormat="1" ht="12.6" customHeight="1" x14ac:dyDescent="0.25">
      <c r="A43" s="136" t="s">
        <v>23</v>
      </c>
      <c r="B43" s="455" t="s">
        <v>46</v>
      </c>
      <c r="C43" s="456"/>
      <c r="D43" s="457"/>
      <c r="E43" s="642" t="s">
        <v>47</v>
      </c>
      <c r="F43" s="106">
        <f>60-24-3.5</f>
        <v>32.5</v>
      </c>
      <c r="G43" s="110">
        <v>60</v>
      </c>
      <c r="H43" s="325">
        <v>24</v>
      </c>
      <c r="I43" s="109">
        <v>250</v>
      </c>
      <c r="J43" s="279">
        <f t="shared" si="3"/>
        <v>4</v>
      </c>
      <c r="L43" s="503"/>
      <c r="M43" s="503"/>
      <c r="O43" s="82" t="s">
        <v>163</v>
      </c>
      <c r="P43" s="388"/>
      <c r="Q43" s="388"/>
      <c r="R43" s="388"/>
      <c r="S43" s="388"/>
      <c r="T43" s="388"/>
      <c r="U43" s="388"/>
      <c r="V43" s="388"/>
      <c r="W43" s="388"/>
      <c r="X43" s="388"/>
    </row>
    <row r="44" spans="1:24" s="83" customFormat="1" ht="12.6" customHeight="1" x14ac:dyDescent="0.25">
      <c r="A44" s="135"/>
      <c r="B44" s="455" t="s">
        <v>48</v>
      </c>
      <c r="C44" s="456"/>
      <c r="D44" s="457"/>
      <c r="E44" s="642" t="s">
        <v>49</v>
      </c>
      <c r="F44" s="106">
        <f>70-24-3.5</f>
        <v>42.5</v>
      </c>
      <c r="G44" s="110">
        <v>70</v>
      </c>
      <c r="H44" s="325">
        <v>24</v>
      </c>
      <c r="I44" s="109">
        <v>200</v>
      </c>
      <c r="J44" s="279">
        <f t="shared" si="3"/>
        <v>5</v>
      </c>
      <c r="L44" s="425" t="s">
        <v>384</v>
      </c>
      <c r="M44" s="426"/>
      <c r="O44" s="97" t="s">
        <v>163</v>
      </c>
      <c r="P44" s="440" t="s">
        <v>166</v>
      </c>
      <c r="Q44" s="387"/>
      <c r="R44" s="387"/>
      <c r="S44" s="387"/>
      <c r="T44" s="387"/>
      <c r="U44" s="387"/>
      <c r="V44" s="387"/>
      <c r="W44" s="387"/>
      <c r="X44" s="387"/>
    </row>
    <row r="45" spans="1:24" s="83" customFormat="1" ht="11.4" customHeight="1" thickBot="1" x14ac:dyDescent="0.3">
      <c r="A45" s="137"/>
      <c r="B45" s="458" t="s">
        <v>50</v>
      </c>
      <c r="C45" s="459"/>
      <c r="D45" s="460"/>
      <c r="E45" s="643" t="s">
        <v>51</v>
      </c>
      <c r="F45" s="138">
        <f>80-24-3.5</f>
        <v>52.5</v>
      </c>
      <c r="G45" s="140">
        <v>80</v>
      </c>
      <c r="H45" s="326">
        <v>24</v>
      </c>
      <c r="I45" s="139">
        <v>200</v>
      </c>
      <c r="J45" s="280">
        <f t="shared" si="3"/>
        <v>5</v>
      </c>
      <c r="L45" s="426"/>
      <c r="M45" s="426"/>
      <c r="P45" s="440" t="s">
        <v>167</v>
      </c>
      <c r="Q45" s="440"/>
      <c r="R45" s="440"/>
      <c r="S45" s="440"/>
      <c r="T45" s="440"/>
      <c r="U45" s="440"/>
      <c r="V45" s="440"/>
      <c r="W45" s="440"/>
      <c r="X45" s="440"/>
    </row>
    <row r="46" spans="1:24" s="83" customFormat="1" ht="11.4" customHeight="1" x14ac:dyDescent="0.25">
      <c r="A46" s="131" t="s">
        <v>96</v>
      </c>
      <c r="B46" s="450" t="s">
        <v>87</v>
      </c>
      <c r="C46" s="448"/>
      <c r="D46" s="449"/>
      <c r="E46" s="644">
        <v>16644050</v>
      </c>
      <c r="F46" s="651">
        <f>50-29.5</f>
        <v>20.5</v>
      </c>
      <c r="G46" s="142">
        <v>50</v>
      </c>
      <c r="H46" s="327">
        <v>26</v>
      </c>
      <c r="I46" s="143">
        <v>500</v>
      </c>
      <c r="J46" s="278">
        <f t="shared" si="3"/>
        <v>2</v>
      </c>
      <c r="L46" s="426"/>
      <c r="M46" s="426"/>
      <c r="O46" s="82" t="s">
        <v>163</v>
      </c>
      <c r="P46" s="485"/>
      <c r="Q46" s="485"/>
      <c r="R46" s="485"/>
      <c r="S46" s="485"/>
      <c r="T46" s="485"/>
      <c r="U46" s="485"/>
      <c r="V46" s="485"/>
      <c r="W46" s="485"/>
      <c r="X46" s="485"/>
    </row>
    <row r="47" spans="1:24" s="83" customFormat="1" ht="11.4" customHeight="1" x14ac:dyDescent="0.25">
      <c r="A47" s="135"/>
      <c r="B47" s="451" t="s">
        <v>89</v>
      </c>
      <c r="C47" s="452"/>
      <c r="D47" s="453"/>
      <c r="E47" s="645">
        <v>16644550</v>
      </c>
      <c r="F47" s="652">
        <f>50-28</f>
        <v>22</v>
      </c>
      <c r="G47" s="110">
        <v>50</v>
      </c>
      <c r="H47" s="325">
        <v>24</v>
      </c>
      <c r="I47" s="111">
        <v>250</v>
      </c>
      <c r="J47" s="279">
        <f t="shared" si="3"/>
        <v>4</v>
      </c>
      <c r="L47" s="426"/>
      <c r="M47" s="426"/>
      <c r="O47" s="82" t="s">
        <v>163</v>
      </c>
      <c r="P47" s="440" t="s">
        <v>168</v>
      </c>
      <c r="Q47" s="440"/>
      <c r="R47" s="440"/>
      <c r="S47" s="440"/>
      <c r="T47" s="440"/>
      <c r="U47" s="440"/>
      <c r="V47" s="440"/>
      <c r="W47" s="440"/>
      <c r="X47" s="440"/>
    </row>
    <row r="48" spans="1:24" s="83" customFormat="1" ht="11.4" customHeight="1" x14ac:dyDescent="0.25">
      <c r="A48" s="135"/>
      <c r="B48" s="451" t="s">
        <v>91</v>
      </c>
      <c r="C48" s="452"/>
      <c r="D48" s="453"/>
      <c r="E48" s="645">
        <v>16644560</v>
      </c>
      <c r="F48" s="652">
        <f>60-33</f>
        <v>27</v>
      </c>
      <c r="G48" s="110">
        <v>60</v>
      </c>
      <c r="H48" s="325">
        <v>29</v>
      </c>
      <c r="I48" s="111">
        <v>250</v>
      </c>
      <c r="J48" s="279">
        <f t="shared" si="3"/>
        <v>4</v>
      </c>
      <c r="P48" s="440" t="s">
        <v>169</v>
      </c>
      <c r="Q48" s="387"/>
      <c r="R48" s="387"/>
      <c r="S48" s="387"/>
      <c r="T48" s="387"/>
      <c r="U48" s="387"/>
      <c r="V48" s="387"/>
      <c r="W48" s="387"/>
      <c r="X48" s="387"/>
    </row>
    <row r="49" spans="1:24" s="83" customFormat="1" ht="12" customHeight="1" x14ac:dyDescent="0.25">
      <c r="A49" s="135"/>
      <c r="B49" s="451" t="s">
        <v>92</v>
      </c>
      <c r="C49" s="452"/>
      <c r="D49" s="453"/>
      <c r="E49" s="645" t="s">
        <v>93</v>
      </c>
      <c r="F49" s="652">
        <f>70-34</f>
        <v>36</v>
      </c>
      <c r="G49" s="110">
        <v>70</v>
      </c>
      <c r="H49" s="325">
        <v>34</v>
      </c>
      <c r="I49" s="111">
        <v>200</v>
      </c>
      <c r="J49" s="279">
        <f t="shared" si="3"/>
        <v>5</v>
      </c>
      <c r="L49" s="205"/>
      <c r="M49" s="292"/>
      <c r="P49" s="441"/>
      <c r="Q49" s="441"/>
      <c r="R49" s="441"/>
      <c r="S49" s="441"/>
      <c r="T49" s="441"/>
      <c r="U49" s="441"/>
      <c r="V49" s="441"/>
      <c r="W49" s="441"/>
      <c r="X49" s="441"/>
    </row>
    <row r="50" spans="1:24" s="83" customFormat="1" ht="12" customHeight="1" thickBot="1" x14ac:dyDescent="0.3">
      <c r="A50" s="144" t="s">
        <v>243</v>
      </c>
      <c r="B50" s="462" t="s">
        <v>94</v>
      </c>
      <c r="C50" s="469"/>
      <c r="D50" s="470"/>
      <c r="E50" s="646" t="s">
        <v>95</v>
      </c>
      <c r="F50" s="653">
        <f>80-39</f>
        <v>41</v>
      </c>
      <c r="G50" s="146">
        <v>80</v>
      </c>
      <c r="H50" s="328">
        <v>29</v>
      </c>
      <c r="I50" s="145">
        <v>200</v>
      </c>
      <c r="J50" s="280">
        <f t="shared" si="3"/>
        <v>5</v>
      </c>
      <c r="L50" s="292"/>
      <c r="M50" s="292"/>
    </row>
    <row r="51" spans="1:24" s="83" customFormat="1" ht="12" customHeight="1" thickBot="1" x14ac:dyDescent="0.3">
      <c r="A51" s="147" t="s">
        <v>99</v>
      </c>
      <c r="B51" s="444" t="s">
        <v>97</v>
      </c>
      <c r="C51" s="445"/>
      <c r="D51" s="446"/>
      <c r="E51" s="647" t="s">
        <v>98</v>
      </c>
      <c r="F51" s="654">
        <f>60-30.5</f>
        <v>29.5</v>
      </c>
      <c r="G51" s="149">
        <v>60</v>
      </c>
      <c r="H51" s="329">
        <v>27</v>
      </c>
      <c r="I51" s="148">
        <v>500</v>
      </c>
      <c r="J51" s="281">
        <f t="shared" si="3"/>
        <v>2</v>
      </c>
      <c r="L51" s="292"/>
      <c r="M51" s="292"/>
    </row>
    <row r="52" spans="1:24" s="83" customFormat="1" ht="12" customHeight="1" x14ac:dyDescent="0.25">
      <c r="A52" s="131" t="s">
        <v>222</v>
      </c>
      <c r="B52" s="450" t="s">
        <v>201</v>
      </c>
      <c r="C52" s="448"/>
      <c r="D52" s="449"/>
      <c r="E52" s="644">
        <v>16634030</v>
      </c>
      <c r="F52" s="655">
        <f xml:space="preserve"> 30-15-3.5</f>
        <v>11.5</v>
      </c>
      <c r="G52" s="150">
        <v>30</v>
      </c>
      <c r="H52" s="330">
        <v>15</v>
      </c>
      <c r="I52" s="143">
        <v>500</v>
      </c>
      <c r="J52" s="278">
        <f t="shared" si="3"/>
        <v>2</v>
      </c>
      <c r="L52" s="292"/>
      <c r="M52" s="292"/>
    </row>
    <row r="53" spans="1:24" s="83" customFormat="1" ht="12" customHeight="1" x14ac:dyDescent="0.25">
      <c r="A53" s="135"/>
      <c r="B53" s="451" t="s">
        <v>202</v>
      </c>
      <c r="C53" s="452"/>
      <c r="D53" s="453"/>
      <c r="E53" s="645" t="s">
        <v>203</v>
      </c>
      <c r="F53" s="656">
        <f>35-21.5</f>
        <v>13.5</v>
      </c>
      <c r="G53" s="112">
        <v>35</v>
      </c>
      <c r="H53" s="331">
        <v>18</v>
      </c>
      <c r="I53" s="111">
        <v>500</v>
      </c>
      <c r="J53" s="279">
        <f t="shared" si="3"/>
        <v>2</v>
      </c>
      <c r="L53" s="292"/>
      <c r="M53" s="292"/>
    </row>
    <row r="54" spans="1:24" s="83" customFormat="1" ht="12" customHeight="1" x14ac:dyDescent="0.25">
      <c r="A54" s="135"/>
      <c r="B54" s="451" t="s">
        <v>204</v>
      </c>
      <c r="C54" s="452"/>
      <c r="D54" s="453"/>
      <c r="E54" s="645" t="s">
        <v>205</v>
      </c>
      <c r="F54" s="656">
        <f>40-24.5</f>
        <v>15.5</v>
      </c>
      <c r="G54" s="112">
        <v>40</v>
      </c>
      <c r="H54" s="331">
        <v>21</v>
      </c>
      <c r="I54" s="111">
        <v>500</v>
      </c>
      <c r="J54" s="279">
        <f t="shared" si="3"/>
        <v>2</v>
      </c>
      <c r="L54" s="292"/>
      <c r="M54" s="292"/>
    </row>
    <row r="55" spans="1:24" s="83" customFormat="1" ht="12" customHeight="1" x14ac:dyDescent="0.3">
      <c r="A55" s="135"/>
      <c r="B55" s="451" t="s">
        <v>206</v>
      </c>
      <c r="C55" s="452"/>
      <c r="D55" s="453"/>
      <c r="E55" s="645" t="s">
        <v>207</v>
      </c>
      <c r="F55" s="656">
        <f>45-29.5</f>
        <v>15.5</v>
      </c>
      <c r="G55" s="112">
        <v>45</v>
      </c>
      <c r="H55" s="331">
        <v>26</v>
      </c>
      <c r="I55" s="111">
        <v>500</v>
      </c>
      <c r="J55" s="279">
        <f t="shared" si="3"/>
        <v>2</v>
      </c>
      <c r="L55" s="1"/>
      <c r="M55" s="1"/>
    </row>
    <row r="56" spans="1:24" s="83" customFormat="1" ht="12" customHeight="1" x14ac:dyDescent="0.3">
      <c r="A56" s="135"/>
      <c r="B56" s="451" t="s">
        <v>208</v>
      </c>
      <c r="C56" s="452"/>
      <c r="D56" s="453"/>
      <c r="E56" s="645">
        <v>16634050</v>
      </c>
      <c r="F56" s="656">
        <f>50-29.5</f>
        <v>20.5</v>
      </c>
      <c r="G56" s="112">
        <v>50</v>
      </c>
      <c r="H56" s="331">
        <v>26</v>
      </c>
      <c r="I56" s="111">
        <v>500</v>
      </c>
      <c r="J56" s="279">
        <f t="shared" si="3"/>
        <v>2</v>
      </c>
      <c r="L56" s="1"/>
      <c r="M56" s="1"/>
    </row>
    <row r="57" spans="1:24" s="83" customFormat="1" ht="12" customHeight="1" x14ac:dyDescent="0.3">
      <c r="A57" s="135"/>
      <c r="B57" s="451" t="s">
        <v>209</v>
      </c>
      <c r="C57" s="452"/>
      <c r="D57" s="453"/>
      <c r="E57" s="645" t="s">
        <v>210</v>
      </c>
      <c r="F57" s="656">
        <f>60-34.5</f>
        <v>25.5</v>
      </c>
      <c r="G57" s="112">
        <v>60</v>
      </c>
      <c r="H57" s="331">
        <v>31</v>
      </c>
      <c r="I57" s="111">
        <v>250</v>
      </c>
      <c r="J57" s="279">
        <f t="shared" si="3"/>
        <v>4</v>
      </c>
      <c r="L57" s="1"/>
      <c r="M57" s="1"/>
    </row>
    <row r="58" spans="1:24" s="83" customFormat="1" ht="12" customHeight="1" x14ac:dyDescent="0.3">
      <c r="A58" s="136" t="s">
        <v>246</v>
      </c>
      <c r="B58" s="451" t="s">
        <v>211</v>
      </c>
      <c r="C58" s="452"/>
      <c r="D58" s="453"/>
      <c r="E58" s="645">
        <v>16634540</v>
      </c>
      <c r="F58" s="656">
        <f>40-26</f>
        <v>14</v>
      </c>
      <c r="G58" s="112">
        <v>40</v>
      </c>
      <c r="H58" s="331">
        <v>22</v>
      </c>
      <c r="I58" s="111">
        <v>500</v>
      </c>
      <c r="J58" s="279">
        <f t="shared" si="3"/>
        <v>2</v>
      </c>
      <c r="L58" s="1"/>
      <c r="M58" s="1"/>
    </row>
    <row r="59" spans="1:24" s="83" customFormat="1" ht="12" customHeight="1" x14ac:dyDescent="0.25">
      <c r="A59" s="135"/>
      <c r="B59" s="451" t="s">
        <v>212</v>
      </c>
      <c r="C59" s="465"/>
      <c r="D59" s="466"/>
      <c r="E59" s="645">
        <v>16634545</v>
      </c>
      <c r="F59" s="656">
        <f>45-26</f>
        <v>19</v>
      </c>
      <c r="G59" s="112">
        <v>45</v>
      </c>
      <c r="H59" s="331">
        <v>22</v>
      </c>
      <c r="I59" s="111">
        <v>500</v>
      </c>
      <c r="J59" s="279">
        <f t="shared" si="3"/>
        <v>2</v>
      </c>
    </row>
    <row r="60" spans="1:24" s="83" customFormat="1" ht="12" customHeight="1" x14ac:dyDescent="0.25">
      <c r="A60" s="135"/>
      <c r="B60" s="451" t="s">
        <v>214</v>
      </c>
      <c r="C60" s="465"/>
      <c r="D60" s="466"/>
      <c r="E60" s="645" t="s">
        <v>215</v>
      </c>
      <c r="F60" s="656">
        <f>50-28</f>
        <v>22</v>
      </c>
      <c r="G60" s="112">
        <v>50</v>
      </c>
      <c r="H60" s="331">
        <v>24</v>
      </c>
      <c r="I60" s="111">
        <v>500</v>
      </c>
      <c r="J60" s="279">
        <f t="shared" si="3"/>
        <v>2</v>
      </c>
    </row>
    <row r="61" spans="1:24" s="83" customFormat="1" ht="12" customHeight="1" x14ac:dyDescent="0.25">
      <c r="A61" s="135"/>
      <c r="B61" s="451" t="s">
        <v>216</v>
      </c>
      <c r="C61" s="465"/>
      <c r="D61" s="466"/>
      <c r="E61" s="645" t="s">
        <v>217</v>
      </c>
      <c r="F61" s="656">
        <f>60-33</f>
        <v>27</v>
      </c>
      <c r="G61" s="112">
        <v>60</v>
      </c>
      <c r="H61" s="331">
        <v>29</v>
      </c>
      <c r="I61" s="111">
        <v>250</v>
      </c>
      <c r="J61" s="279">
        <f t="shared" si="3"/>
        <v>4</v>
      </c>
    </row>
    <row r="62" spans="1:24" s="83" customFormat="1" ht="12" customHeight="1" x14ac:dyDescent="0.25">
      <c r="A62" s="135"/>
      <c r="B62" s="451" t="s">
        <v>218</v>
      </c>
      <c r="C62" s="465"/>
      <c r="D62" s="466"/>
      <c r="E62" s="645" t="s">
        <v>219</v>
      </c>
      <c r="F62" s="656">
        <f>70-38</f>
        <v>32</v>
      </c>
      <c r="G62" s="112">
        <v>70</v>
      </c>
      <c r="H62" s="331">
        <v>34</v>
      </c>
      <c r="I62" s="111">
        <v>200</v>
      </c>
      <c r="J62" s="279">
        <f t="shared" ref="J62:J78" si="4">ROUNDUP(($K$19/I62),0)</f>
        <v>5</v>
      </c>
    </row>
    <row r="63" spans="1:24" s="83" customFormat="1" ht="12" customHeight="1" thickBot="1" x14ac:dyDescent="0.3">
      <c r="A63" s="137"/>
      <c r="B63" s="462" t="s">
        <v>220</v>
      </c>
      <c r="C63" s="463"/>
      <c r="D63" s="464"/>
      <c r="E63" s="646" t="s">
        <v>221</v>
      </c>
      <c r="F63" s="657">
        <f>80-43</f>
        <v>37</v>
      </c>
      <c r="G63" s="146">
        <v>80</v>
      </c>
      <c r="H63" s="328">
        <v>39</v>
      </c>
      <c r="I63" s="145">
        <v>200</v>
      </c>
      <c r="J63" s="280">
        <f t="shared" si="4"/>
        <v>5</v>
      </c>
    </row>
    <row r="64" spans="1:24" s="83" customFormat="1" ht="12" customHeight="1" x14ac:dyDescent="0.25">
      <c r="A64" s="131" t="s">
        <v>125</v>
      </c>
      <c r="B64" s="450" t="s">
        <v>115</v>
      </c>
      <c r="C64" s="467"/>
      <c r="D64" s="468"/>
      <c r="E64" s="648" t="s">
        <v>116</v>
      </c>
      <c r="F64" s="651">
        <f>60-39</f>
        <v>21</v>
      </c>
      <c r="G64" s="150">
        <v>60</v>
      </c>
      <c r="H64" s="330">
        <v>39</v>
      </c>
      <c r="I64" s="151">
        <v>250</v>
      </c>
      <c r="J64" s="278">
        <f t="shared" si="4"/>
        <v>4</v>
      </c>
    </row>
    <row r="65" spans="1:27" s="83" customFormat="1" ht="12" customHeight="1" x14ac:dyDescent="0.25">
      <c r="A65" s="135"/>
      <c r="B65" s="114" t="s">
        <v>117</v>
      </c>
      <c r="C65" s="115"/>
      <c r="D65" s="116"/>
      <c r="E65" s="649" t="s">
        <v>118</v>
      </c>
      <c r="F65" s="652">
        <f>70-39</f>
        <v>31</v>
      </c>
      <c r="G65" s="112">
        <v>70</v>
      </c>
      <c r="H65" s="331">
        <v>39</v>
      </c>
      <c r="I65" s="111">
        <v>200</v>
      </c>
      <c r="J65" s="279">
        <f t="shared" si="4"/>
        <v>5</v>
      </c>
    </row>
    <row r="66" spans="1:27" s="83" customFormat="1" ht="12" customHeight="1" x14ac:dyDescent="0.25">
      <c r="A66" s="135"/>
      <c r="B66" s="114" t="s">
        <v>119</v>
      </c>
      <c r="C66" s="115"/>
      <c r="D66" s="116"/>
      <c r="E66" s="649" t="s">
        <v>120</v>
      </c>
      <c r="F66" s="652">
        <f>60-38</f>
        <v>22</v>
      </c>
      <c r="G66" s="112">
        <v>60</v>
      </c>
      <c r="H66" s="331">
        <v>38</v>
      </c>
      <c r="I66" s="113">
        <v>250</v>
      </c>
      <c r="J66" s="279">
        <f t="shared" si="4"/>
        <v>4</v>
      </c>
    </row>
    <row r="67" spans="1:27" s="83" customFormat="1" ht="12" customHeight="1" x14ac:dyDescent="0.25">
      <c r="A67" s="135"/>
      <c r="B67" s="114" t="s">
        <v>121</v>
      </c>
      <c r="C67" s="115"/>
      <c r="D67" s="116"/>
      <c r="E67" s="649" t="s">
        <v>122</v>
      </c>
      <c r="F67" s="652">
        <f>70-43</f>
        <v>27</v>
      </c>
      <c r="G67" s="112">
        <v>70</v>
      </c>
      <c r="H67" s="331">
        <v>43</v>
      </c>
      <c r="I67" s="111">
        <v>100</v>
      </c>
      <c r="J67" s="279">
        <f t="shared" si="4"/>
        <v>9</v>
      </c>
    </row>
    <row r="68" spans="1:27" s="83" customFormat="1" ht="12" customHeight="1" thickBot="1" x14ac:dyDescent="0.3">
      <c r="A68" s="152" t="s">
        <v>242</v>
      </c>
      <c r="B68" s="153" t="s">
        <v>123</v>
      </c>
      <c r="C68" s="154"/>
      <c r="D68" s="155"/>
      <c r="E68" s="650" t="s">
        <v>124</v>
      </c>
      <c r="F68" s="653">
        <f>80-48</f>
        <v>32</v>
      </c>
      <c r="G68" s="156">
        <v>80</v>
      </c>
      <c r="H68" s="332">
        <v>48</v>
      </c>
      <c r="I68" s="145">
        <v>100</v>
      </c>
      <c r="J68" s="280">
        <f t="shared" si="4"/>
        <v>9</v>
      </c>
    </row>
    <row r="69" spans="1:27" s="83" customFormat="1" ht="12" customHeight="1" x14ac:dyDescent="0.25">
      <c r="A69" s="131" t="s">
        <v>113</v>
      </c>
      <c r="B69" s="480" t="s">
        <v>101</v>
      </c>
      <c r="C69" s="448"/>
      <c r="D69" s="449"/>
      <c r="E69" s="648" t="s">
        <v>102</v>
      </c>
      <c r="F69" s="651">
        <f>55-39</f>
        <v>16</v>
      </c>
      <c r="G69" s="157">
        <v>55</v>
      </c>
      <c r="H69" s="333">
        <v>39</v>
      </c>
      <c r="I69" s="151">
        <v>250</v>
      </c>
      <c r="J69" s="278">
        <f t="shared" si="4"/>
        <v>4</v>
      </c>
    </row>
    <row r="70" spans="1:27" s="83" customFormat="1" ht="12" customHeight="1" x14ac:dyDescent="0.25">
      <c r="A70" s="158"/>
      <c r="B70" s="451" t="s">
        <v>103</v>
      </c>
      <c r="C70" s="452"/>
      <c r="D70" s="453"/>
      <c r="E70" s="649" t="s">
        <v>104</v>
      </c>
      <c r="F70" s="652">
        <f>60-39</f>
        <v>21</v>
      </c>
      <c r="G70" s="112">
        <v>60</v>
      </c>
      <c r="H70" s="331">
        <v>39</v>
      </c>
      <c r="I70" s="113">
        <v>250</v>
      </c>
      <c r="J70" s="279">
        <f t="shared" si="4"/>
        <v>4</v>
      </c>
    </row>
    <row r="71" spans="1:27" s="83" customFormat="1" ht="12" customHeight="1" x14ac:dyDescent="0.25">
      <c r="A71" s="158"/>
      <c r="B71" s="451" t="s">
        <v>105</v>
      </c>
      <c r="C71" s="452"/>
      <c r="D71" s="453"/>
      <c r="E71" s="649" t="s">
        <v>106</v>
      </c>
      <c r="F71" s="652">
        <f>70-39</f>
        <v>31</v>
      </c>
      <c r="G71" s="117">
        <v>70</v>
      </c>
      <c r="H71" s="334">
        <v>39</v>
      </c>
      <c r="I71" s="111">
        <v>200</v>
      </c>
      <c r="J71" s="279">
        <f t="shared" si="4"/>
        <v>5</v>
      </c>
    </row>
    <row r="72" spans="1:27" s="83" customFormat="1" ht="12" customHeight="1" x14ac:dyDescent="0.25">
      <c r="A72" s="158"/>
      <c r="B72" s="451" t="s">
        <v>107</v>
      </c>
      <c r="C72" s="452"/>
      <c r="D72" s="453"/>
      <c r="E72" s="649" t="s">
        <v>108</v>
      </c>
      <c r="F72" s="652">
        <f>60-38</f>
        <v>22</v>
      </c>
      <c r="G72" s="112">
        <v>60</v>
      </c>
      <c r="H72" s="331">
        <v>38</v>
      </c>
      <c r="I72" s="113">
        <v>250</v>
      </c>
      <c r="J72" s="279">
        <f t="shared" si="4"/>
        <v>4</v>
      </c>
    </row>
    <row r="73" spans="1:27" s="83" customFormat="1" ht="12" customHeight="1" x14ac:dyDescent="0.25">
      <c r="A73" s="158"/>
      <c r="B73" s="451" t="s">
        <v>109</v>
      </c>
      <c r="C73" s="452"/>
      <c r="D73" s="453"/>
      <c r="E73" s="649" t="s">
        <v>110</v>
      </c>
      <c r="F73" s="652">
        <f>70-43</f>
        <v>27</v>
      </c>
      <c r="G73" s="112">
        <v>70</v>
      </c>
      <c r="H73" s="331">
        <v>43</v>
      </c>
      <c r="I73" s="111">
        <v>200</v>
      </c>
      <c r="J73" s="279">
        <f t="shared" si="4"/>
        <v>5</v>
      </c>
    </row>
    <row r="74" spans="1:27" s="83" customFormat="1" ht="12" customHeight="1" thickBot="1" x14ac:dyDescent="0.3">
      <c r="A74" s="159"/>
      <c r="B74" s="462" t="s">
        <v>111</v>
      </c>
      <c r="C74" s="469"/>
      <c r="D74" s="470"/>
      <c r="E74" s="650" t="s">
        <v>112</v>
      </c>
      <c r="F74" s="653">
        <f>80-48</f>
        <v>32</v>
      </c>
      <c r="G74" s="156">
        <v>80</v>
      </c>
      <c r="H74" s="332">
        <v>48</v>
      </c>
      <c r="I74" s="145">
        <v>200</v>
      </c>
      <c r="J74" s="280">
        <f t="shared" si="4"/>
        <v>5</v>
      </c>
      <c r="Z74" s="93"/>
      <c r="AA74" s="93"/>
    </row>
    <row r="75" spans="1:27" s="83" customFormat="1" ht="12" customHeight="1" x14ac:dyDescent="0.25">
      <c r="A75" s="131" t="s">
        <v>134</v>
      </c>
      <c r="B75" s="450" t="s">
        <v>126</v>
      </c>
      <c r="C75" s="448"/>
      <c r="D75" s="449"/>
      <c r="E75" s="648" t="s">
        <v>127</v>
      </c>
      <c r="F75" s="651">
        <f>60-39</f>
        <v>21</v>
      </c>
      <c r="G75" s="157">
        <v>60</v>
      </c>
      <c r="H75" s="333">
        <v>39</v>
      </c>
      <c r="I75" s="151">
        <v>250</v>
      </c>
      <c r="J75" s="278">
        <f t="shared" si="4"/>
        <v>4</v>
      </c>
      <c r="Z75" s="93"/>
      <c r="AA75" s="93"/>
    </row>
    <row r="76" spans="1:27" s="83" customFormat="1" ht="12" customHeight="1" x14ac:dyDescent="0.25">
      <c r="A76" s="158"/>
      <c r="B76" s="451" t="s">
        <v>128</v>
      </c>
      <c r="C76" s="452"/>
      <c r="D76" s="453"/>
      <c r="E76" s="649" t="s">
        <v>129</v>
      </c>
      <c r="F76" s="652">
        <f>60-37</f>
        <v>23</v>
      </c>
      <c r="G76" s="112">
        <v>60</v>
      </c>
      <c r="H76" s="331">
        <v>37</v>
      </c>
      <c r="I76" s="113">
        <v>250</v>
      </c>
      <c r="J76" s="279">
        <f t="shared" si="4"/>
        <v>4</v>
      </c>
    </row>
    <row r="77" spans="1:27" ht="12" customHeight="1" x14ac:dyDescent="0.25">
      <c r="A77" s="158"/>
      <c r="B77" s="451" t="s">
        <v>130</v>
      </c>
      <c r="C77" s="452"/>
      <c r="D77" s="453"/>
      <c r="E77" s="649" t="s">
        <v>131</v>
      </c>
      <c r="F77" s="652">
        <f>70-42</f>
        <v>28</v>
      </c>
      <c r="G77" s="112">
        <v>70</v>
      </c>
      <c r="H77" s="331">
        <v>42</v>
      </c>
      <c r="I77" s="111">
        <v>200</v>
      </c>
      <c r="J77" s="279">
        <f t="shared" si="4"/>
        <v>5</v>
      </c>
      <c r="L77" s="83"/>
      <c r="M77" s="83"/>
      <c r="N77" s="83"/>
      <c r="Z77" s="83"/>
      <c r="AA77" s="83"/>
    </row>
    <row r="78" spans="1:27" ht="12" customHeight="1" thickBot="1" x14ac:dyDescent="0.3">
      <c r="A78" s="159"/>
      <c r="B78" s="462" t="s">
        <v>132</v>
      </c>
      <c r="C78" s="469"/>
      <c r="D78" s="470"/>
      <c r="E78" s="650" t="s">
        <v>133</v>
      </c>
      <c r="F78" s="653">
        <f>80-50</f>
        <v>30</v>
      </c>
      <c r="G78" s="156">
        <v>50</v>
      </c>
      <c r="H78" s="332">
        <v>50</v>
      </c>
      <c r="I78" s="145">
        <v>200</v>
      </c>
      <c r="J78" s="280">
        <f t="shared" si="4"/>
        <v>5</v>
      </c>
      <c r="L78" s="83"/>
      <c r="M78" s="83"/>
      <c r="N78" s="83"/>
      <c r="Z78" s="83"/>
      <c r="AA78" s="83"/>
    </row>
    <row r="79" spans="1:27" s="83" customFormat="1" ht="12" customHeight="1" x14ac:dyDescent="0.25">
      <c r="A79" s="118"/>
      <c r="B79" s="93"/>
      <c r="C79" s="93"/>
      <c r="D79" s="93"/>
      <c r="E79" s="93"/>
      <c r="F79" s="93"/>
      <c r="G79" s="93"/>
      <c r="H79" s="93"/>
      <c r="I79" s="82"/>
      <c r="J79" s="82"/>
    </row>
    <row r="80" spans="1:27" ht="14.4" thickBot="1" x14ac:dyDescent="0.3">
      <c r="A80" s="84"/>
    </row>
    <row r="81" spans="1:13" ht="31.2" thickBot="1" x14ac:dyDescent="0.3">
      <c r="A81" s="160" t="s">
        <v>146</v>
      </c>
      <c r="B81" s="461" t="s">
        <v>2</v>
      </c>
      <c r="C81" s="461"/>
      <c r="D81" s="461"/>
      <c r="E81" s="161" t="s">
        <v>3</v>
      </c>
      <c r="F81" s="162" t="s">
        <v>372</v>
      </c>
      <c r="G81" s="162" t="s">
        <v>428</v>
      </c>
      <c r="H81" s="162" t="s">
        <v>371</v>
      </c>
      <c r="I81" s="163" t="s">
        <v>427</v>
      </c>
      <c r="L81" s="508" t="s">
        <v>393</v>
      </c>
      <c r="M81" s="509"/>
    </row>
    <row r="82" spans="1:13" x14ac:dyDescent="0.25">
      <c r="A82" s="164" t="s">
        <v>235</v>
      </c>
      <c r="B82" s="450" t="s">
        <v>152</v>
      </c>
      <c r="C82" s="448"/>
      <c r="D82" s="449"/>
      <c r="E82" s="644">
        <v>19040460</v>
      </c>
      <c r="F82" s="143">
        <v>30</v>
      </c>
      <c r="G82" s="150">
        <v>60</v>
      </c>
      <c r="H82" s="648">
        <v>250</v>
      </c>
      <c r="I82" s="670">
        <f>ROUNDUP(($L$19/H82),0)</f>
        <v>1</v>
      </c>
      <c r="L82" s="388"/>
      <c r="M82" s="388"/>
    </row>
    <row r="83" spans="1:13" x14ac:dyDescent="0.25">
      <c r="A83" s="166"/>
      <c r="B83" s="451" t="s">
        <v>153</v>
      </c>
      <c r="C83" s="452"/>
      <c r="D83" s="453"/>
      <c r="E83" s="645">
        <v>19040470</v>
      </c>
      <c r="F83" s="111">
        <v>40</v>
      </c>
      <c r="G83" s="112">
        <v>70</v>
      </c>
      <c r="H83" s="671">
        <v>200</v>
      </c>
      <c r="I83" s="672">
        <f>ROUNDUP(($L$19/H83),0)</f>
        <v>1</v>
      </c>
      <c r="L83" s="388"/>
      <c r="M83" s="388"/>
    </row>
    <row r="84" spans="1:13" x14ac:dyDescent="0.25">
      <c r="A84" s="166"/>
      <c r="B84" s="451" t="s">
        <v>148</v>
      </c>
      <c r="C84" s="452"/>
      <c r="D84" s="453"/>
      <c r="E84" s="645">
        <v>190404560</v>
      </c>
      <c r="F84" s="111">
        <v>32</v>
      </c>
      <c r="G84" s="112">
        <v>60</v>
      </c>
      <c r="H84" s="649">
        <v>250</v>
      </c>
      <c r="I84" s="672">
        <f>ROUNDUP(($L$19/H84),0)</f>
        <v>1</v>
      </c>
      <c r="L84" s="498" t="s">
        <v>388</v>
      </c>
      <c r="M84" s="499"/>
    </row>
    <row r="85" spans="1:13" ht="14.4" thickBot="1" x14ac:dyDescent="0.3">
      <c r="A85" s="167"/>
      <c r="B85" s="462" t="s">
        <v>150</v>
      </c>
      <c r="C85" s="469"/>
      <c r="D85" s="470"/>
      <c r="E85" s="646" t="s">
        <v>151</v>
      </c>
      <c r="F85" s="145">
        <v>42</v>
      </c>
      <c r="G85" s="146">
        <v>70</v>
      </c>
      <c r="H85" s="673">
        <v>200</v>
      </c>
      <c r="I85" s="674">
        <f>ROUNDUP(($L$19/H85),0)</f>
        <v>1</v>
      </c>
      <c r="L85" s="500"/>
      <c r="M85" s="500"/>
    </row>
    <row r="86" spans="1:13" x14ac:dyDescent="0.25">
      <c r="L86" s="506" t="s">
        <v>296</v>
      </c>
      <c r="M86" s="507"/>
    </row>
  </sheetData>
  <sheetProtection algorithmName="SHA-512" hashValue="baCo8CHR5iJcJDGkwBZ7QpWFAkV9qvOtHt/Calfs8TdlLiS8E+3zm2A1UaTfsoogQBCW4Pr0NYKYCnxFXZErEQ==" saltValue="9hNeDgoDCS6HPZ1EvsWTeg==" spinCount="100000" sheet="1" selectLockedCells="1"/>
  <mergeCells count="85">
    <mergeCell ref="B76:D76"/>
    <mergeCell ref="B77:D77"/>
    <mergeCell ref="B78:D78"/>
    <mergeCell ref="B56:D56"/>
    <mergeCell ref="B57:D57"/>
    <mergeCell ref="B58:D58"/>
    <mergeCell ref="B71:D71"/>
    <mergeCell ref="B70:D70"/>
    <mergeCell ref="L44:M47"/>
    <mergeCell ref="L84:M85"/>
    <mergeCell ref="L86:M86"/>
    <mergeCell ref="L81:M83"/>
    <mergeCell ref="I6:J6"/>
    <mergeCell ref="L30:M32"/>
    <mergeCell ref="L34:M35"/>
    <mergeCell ref="L36:M36"/>
    <mergeCell ref="L38:M43"/>
    <mergeCell ref="B3:L3"/>
    <mergeCell ref="B23:D23"/>
    <mergeCell ref="B25:D25"/>
    <mergeCell ref="P47:X47"/>
    <mergeCell ref="P45:X46"/>
    <mergeCell ref="O33:Q33"/>
    <mergeCell ref="R33:S33"/>
    <mergeCell ref="T33:U33"/>
    <mergeCell ref="O34:Q34"/>
    <mergeCell ref="O35:P37"/>
    <mergeCell ref="P41:X41"/>
    <mergeCell ref="P44:X44"/>
    <mergeCell ref="D1:E1"/>
    <mergeCell ref="R7:U7"/>
    <mergeCell ref="B69:D69"/>
    <mergeCell ref="F1:I1"/>
    <mergeCell ref="B1:C1"/>
    <mergeCell ref="K1:L1"/>
    <mergeCell ref="B26:D26"/>
    <mergeCell ref="B29:D29"/>
    <mergeCell ref="B22:D22"/>
    <mergeCell ref="I13:J13"/>
    <mergeCell ref="I18:J18"/>
    <mergeCell ref="B49:D49"/>
    <mergeCell ref="B52:D52"/>
    <mergeCell ref="B53:D53"/>
    <mergeCell ref="B54:D54"/>
    <mergeCell ref="B55:D55"/>
    <mergeCell ref="B72:D72"/>
    <mergeCell ref="B73:D73"/>
    <mergeCell ref="B74:D74"/>
    <mergeCell ref="B37:D37"/>
    <mergeCell ref="B38:D38"/>
    <mergeCell ref="B39:D39"/>
    <mergeCell ref="B40:D40"/>
    <mergeCell ref="B50:D50"/>
    <mergeCell ref="B75:D75"/>
    <mergeCell ref="B83:D83"/>
    <mergeCell ref="B84:D84"/>
    <mergeCell ref="B85:D85"/>
    <mergeCell ref="B41:D41"/>
    <mergeCell ref="B42:D42"/>
    <mergeCell ref="B43:D43"/>
    <mergeCell ref="B44:D44"/>
    <mergeCell ref="B45:D45"/>
    <mergeCell ref="B81:D81"/>
    <mergeCell ref="B63:D63"/>
    <mergeCell ref="B62:D62"/>
    <mergeCell ref="B61:D61"/>
    <mergeCell ref="B60:D60"/>
    <mergeCell ref="B59:D59"/>
    <mergeCell ref="B64:D64"/>
    <mergeCell ref="N3:O3"/>
    <mergeCell ref="P42:X43"/>
    <mergeCell ref="P48:X49"/>
    <mergeCell ref="I19:J19"/>
    <mergeCell ref="B82:D82"/>
    <mergeCell ref="B51:D51"/>
    <mergeCell ref="B30:D30"/>
    <mergeCell ref="B46:D46"/>
    <mergeCell ref="B47:D47"/>
    <mergeCell ref="B48:D48"/>
    <mergeCell ref="B31:D31"/>
    <mergeCell ref="B32:D32"/>
    <mergeCell ref="B33:D33"/>
    <mergeCell ref="B34:D34"/>
    <mergeCell ref="B35:D35"/>
    <mergeCell ref="B36:D36"/>
  </mergeCells>
  <conditionalFormatting sqref="I82:I85">
    <cfRule type="expression" dxfId="47" priority="23">
      <formula>G82&gt;($C$20+$D$20)</formula>
    </cfRule>
    <cfRule type="expression" dxfId="46" priority="24">
      <formula>$C$20&gt;F82</formula>
    </cfRule>
  </conditionalFormatting>
  <conditionalFormatting sqref="J30:J78">
    <cfRule type="expression" dxfId="45" priority="32" stopIfTrue="1">
      <formula>$B$20&gt;H30</formula>
    </cfRule>
    <cfRule type="expression" dxfId="44" priority="33">
      <formula>G30&gt;($C$20+$B$20)</formula>
    </cfRule>
    <cfRule type="expression" dxfId="43" priority="34" stopIfTrue="1">
      <formula>$B$20&gt;F30</formula>
    </cfRule>
  </conditionalFormatting>
  <hyperlinks>
    <hyperlink ref="N1" r:id="rId1" xr:uid="{16F7AD34-A216-474B-9572-8DD07573947D}"/>
  </hyperlinks>
  <pageMargins left="0.39370078740157483" right="0.39370078740157483" top="1.1023622047244095" bottom="0.47244094488188981" header="0.31496062992125984" footer="0.31496062992125984"/>
  <pageSetup paperSize="256" orientation="landscape" r:id="rId2"/>
  <headerFooter differentFirst="1">
    <firstHeader>&amp;R
&amp;G</firstHeader>
    <firstFooter xml:space="preserve">&amp;L&amp;"Wuerth Book,Standard"&amp;8HINWEIS: Es handelt sich hier um Planungshilfen zur Bestimmung der Schraubenmengen. Die Statik ist durch autorisierte Personen im Projektfall zu bemessen. 
&amp;D  Rhomboid Schalung&amp;R&amp;"Wuerth Book,Standard"&amp;8 &amp; [Seite] von &amp;N  </firstFooter>
  </headerFooter>
  <ignoredErrors>
    <ignoredError sqref="E30:E78 E85" numberStoredAsText="1"/>
    <ignoredError sqref="F30:F78" unlockedFormula="1"/>
  </ignoredErrors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2BAB-5654-4348-B4FB-696B5E687E58}">
  <sheetPr codeName="Tabelle3"/>
  <dimension ref="A1:AA95"/>
  <sheetViews>
    <sheetView showGridLines="0" zoomScale="95" zoomScaleNormal="95" workbookViewId="0">
      <selection activeCell="A27" sqref="A27"/>
    </sheetView>
  </sheetViews>
  <sheetFormatPr baseColWidth="10" defaultColWidth="10.88671875" defaultRowHeight="13.8" x14ac:dyDescent="0.25"/>
  <cols>
    <col min="1" max="1" width="18.44140625" style="82" customWidth="1"/>
    <col min="2" max="2" width="11.21875" style="82" customWidth="1"/>
    <col min="3" max="3" width="8.88671875" style="82" customWidth="1"/>
    <col min="4" max="4" width="15.109375" style="82" customWidth="1"/>
    <col min="5" max="5" width="10.33203125" style="82" customWidth="1"/>
    <col min="6" max="6" width="11" style="82" customWidth="1"/>
    <col min="7" max="7" width="9" style="82" customWidth="1"/>
    <col min="8" max="8" width="8.77734375" style="82" customWidth="1"/>
    <col min="9" max="9" width="8.6640625" style="82" customWidth="1"/>
    <col min="10" max="10" width="8.5546875" style="82" customWidth="1"/>
    <col min="11" max="11" width="10.21875" style="82" customWidth="1"/>
    <col min="12" max="12" width="10.33203125" style="82" customWidth="1"/>
    <col min="13" max="13" width="10.88671875" style="93"/>
    <col min="14" max="15" width="6.21875" style="93" customWidth="1"/>
    <col min="16" max="16" width="9.6640625" style="93" customWidth="1"/>
    <col min="17" max="17" width="11.33203125" style="93" customWidth="1"/>
    <col min="18" max="18" width="10" style="93" customWidth="1"/>
    <col min="19" max="19" width="7.88671875" style="93" customWidth="1"/>
    <col min="20" max="20" width="6.88671875" style="93" customWidth="1"/>
    <col min="21" max="21" width="9.21875" style="93" customWidth="1"/>
    <col min="22" max="22" width="8.88671875" style="93" customWidth="1"/>
    <col min="23" max="16384" width="10.88671875" style="93"/>
  </cols>
  <sheetData>
    <row r="1" spans="1:21" s="81" customFormat="1" ht="27" customHeight="1" x14ac:dyDescent="0.25">
      <c r="A1" s="78" t="s">
        <v>68</v>
      </c>
      <c r="B1" s="427"/>
      <c r="C1" s="428"/>
      <c r="D1" s="476" t="s">
        <v>268</v>
      </c>
      <c r="E1" s="477"/>
      <c r="F1" s="429"/>
      <c r="G1" s="429"/>
      <c r="H1" s="429"/>
      <c r="I1" s="430"/>
      <c r="J1" s="79" t="s">
        <v>69</v>
      </c>
      <c r="K1" s="429"/>
      <c r="L1" s="430"/>
      <c r="N1" s="80" t="s">
        <v>114</v>
      </c>
    </row>
    <row r="2" spans="1:21" s="83" customFormat="1" ht="9.4499999999999993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21" s="83" customFormat="1" ht="15.6" customHeight="1" x14ac:dyDescent="0.3">
      <c r="A3" s="520" t="s">
        <v>0</v>
      </c>
      <c r="B3" s="520"/>
      <c r="C3" s="521"/>
      <c r="D3" s="521"/>
      <c r="E3" s="521"/>
      <c r="F3" s="521"/>
      <c r="G3" s="521"/>
      <c r="H3" s="521"/>
      <c r="I3" s="521"/>
      <c r="J3" s="522"/>
      <c r="K3" s="522"/>
      <c r="L3" s="522"/>
      <c r="N3" s="513" t="s">
        <v>75</v>
      </c>
      <c r="O3" s="514"/>
      <c r="P3" s="515"/>
    </row>
    <row r="4" spans="1:21" s="83" customFormat="1" ht="17.399999999999999" customHeight="1" x14ac:dyDescent="0.25">
      <c r="A4" s="91" t="s">
        <v>391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21" s="83" customFormat="1" ht="9" customHeight="1" x14ac:dyDescent="0.25">
      <c r="B5" s="82"/>
      <c r="C5" s="85"/>
      <c r="D5" s="82"/>
      <c r="F5" s="82"/>
      <c r="G5" s="82"/>
      <c r="H5" s="82"/>
      <c r="I5" s="82"/>
      <c r="J5" s="82"/>
      <c r="K5" s="82"/>
      <c r="L5" s="82"/>
    </row>
    <row r="6" spans="1:21" s="83" customFormat="1" ht="13.05" customHeight="1" x14ac:dyDescent="0.3">
      <c r="A6" s="82"/>
      <c r="B6" s="82"/>
      <c r="C6" s="82"/>
      <c r="D6" s="185" t="s">
        <v>281</v>
      </c>
      <c r="E6" s="82"/>
      <c r="F6" s="82"/>
      <c r="G6" s="82"/>
      <c r="H6" s="82"/>
      <c r="I6" s="510" t="s">
        <v>280</v>
      </c>
      <c r="J6" s="511"/>
      <c r="K6" s="82"/>
      <c r="L6" s="82"/>
    </row>
    <row r="7" spans="1:21" s="83" customFormat="1" ht="66.599999999999994" customHeight="1" x14ac:dyDescent="0.3">
      <c r="A7" s="86"/>
      <c r="B7" s="77" t="s">
        <v>433</v>
      </c>
      <c r="C7" s="77" t="s">
        <v>338</v>
      </c>
      <c r="D7" s="77" t="s">
        <v>198</v>
      </c>
      <c r="E7" s="77" t="s">
        <v>337</v>
      </c>
      <c r="F7" s="77" t="s">
        <v>333</v>
      </c>
      <c r="G7" s="77" t="s">
        <v>251</v>
      </c>
      <c r="H7" s="77" t="s">
        <v>434</v>
      </c>
      <c r="I7" s="77" t="s">
        <v>84</v>
      </c>
      <c r="J7" s="77" t="s">
        <v>85</v>
      </c>
      <c r="K7" s="77" t="s">
        <v>336</v>
      </c>
      <c r="L7" s="77" t="s">
        <v>326</v>
      </c>
      <c r="R7" s="517" t="s">
        <v>224</v>
      </c>
      <c r="S7" s="518"/>
      <c r="T7" s="519"/>
      <c r="U7" s="519"/>
    </row>
    <row r="8" spans="1:21" s="83" customFormat="1" ht="13.2" x14ac:dyDescent="0.25">
      <c r="A8" s="2" t="s">
        <v>70</v>
      </c>
      <c r="B8" s="3">
        <v>2</v>
      </c>
      <c r="C8" s="3">
        <v>16</v>
      </c>
      <c r="D8" s="3">
        <v>20</v>
      </c>
      <c r="E8" s="3">
        <v>2</v>
      </c>
      <c r="F8" s="3">
        <v>50</v>
      </c>
      <c r="G8" s="3">
        <v>50</v>
      </c>
      <c r="H8" s="3">
        <v>15</v>
      </c>
      <c r="I8" s="3">
        <v>1000</v>
      </c>
      <c r="J8" s="3">
        <v>240</v>
      </c>
      <c r="K8" s="5">
        <f>(ROUNDUP((((I8-(2*H8))/F8) +1+(E8-1)),0))*(ROUNDUP((J8/(C8-(D8/10))*B8),0))</f>
        <v>770</v>
      </c>
      <c r="L8" s="87">
        <f>IF(ROUNDUP(((J8/G8)+1),0)*ROUNDUP(((I8/F8)+1),0)&lt;1.1,"0",ROUNDUP(((J8/G8)+1),0)*ROUNDUP(((I8/F8)+1),0))</f>
        <v>126</v>
      </c>
      <c r="T8" s="82"/>
    </row>
    <row r="9" spans="1:21" s="83" customFormat="1" ht="13.2" x14ac:dyDescent="0.25">
      <c r="A9" s="2" t="s">
        <v>80</v>
      </c>
      <c r="B9" s="3">
        <v>0</v>
      </c>
      <c r="C9" s="3">
        <v>0.1</v>
      </c>
      <c r="D9" s="3">
        <v>0</v>
      </c>
      <c r="E9" s="3">
        <v>0</v>
      </c>
      <c r="F9" s="3">
        <v>50</v>
      </c>
      <c r="G9" s="3">
        <v>50</v>
      </c>
      <c r="H9" s="3">
        <v>0</v>
      </c>
      <c r="I9" s="3">
        <v>0</v>
      </c>
      <c r="J9" s="3">
        <v>0</v>
      </c>
      <c r="K9" s="5">
        <f t="shared" ref="K9:K12" si="0">(ROUNDUP((((I9-(2*H9))/F9) +1+(E9-1)),0))*(ROUNDUP((J9/(C9-(D9/10))*B9),0))</f>
        <v>0</v>
      </c>
      <c r="L9" s="87" t="str">
        <f t="shared" ref="L9:L12" si="1">IF(ROUNDUP(((J9/G9)+1),0)*ROUNDUP(((I9/F9)+1),0)&lt;1.1,"0",ROUNDUP(((J9/G9)+1),0)*ROUNDUP(((I9/F9)+1),0))</f>
        <v>0</v>
      </c>
      <c r="R9" s="84" t="s">
        <v>138</v>
      </c>
      <c r="S9" s="82"/>
      <c r="T9" s="82"/>
    </row>
    <row r="10" spans="1:21" s="83" customFormat="1" ht="13.2" x14ac:dyDescent="0.25">
      <c r="A10" s="2" t="s">
        <v>71</v>
      </c>
      <c r="B10" s="3">
        <v>0</v>
      </c>
      <c r="C10" s="3">
        <v>0.1</v>
      </c>
      <c r="D10" s="3">
        <v>0</v>
      </c>
      <c r="E10" s="3">
        <v>0</v>
      </c>
      <c r="F10" s="3">
        <v>50</v>
      </c>
      <c r="G10" s="3">
        <v>50</v>
      </c>
      <c r="H10" s="3">
        <v>0</v>
      </c>
      <c r="I10" s="3">
        <v>0</v>
      </c>
      <c r="J10" s="3">
        <v>0</v>
      </c>
      <c r="K10" s="5">
        <f t="shared" si="0"/>
        <v>0</v>
      </c>
      <c r="L10" s="87" t="str">
        <f t="shared" si="1"/>
        <v>0</v>
      </c>
      <c r="R10" s="82" t="s">
        <v>174</v>
      </c>
      <c r="S10" s="82"/>
      <c r="T10" s="82"/>
    </row>
    <row r="11" spans="1:21" s="83" customFormat="1" ht="13.2" x14ac:dyDescent="0.25">
      <c r="A11" s="2" t="s">
        <v>81</v>
      </c>
      <c r="B11" s="3">
        <v>0</v>
      </c>
      <c r="C11" s="3">
        <v>0.1</v>
      </c>
      <c r="D11" s="3">
        <v>0</v>
      </c>
      <c r="E11" s="3">
        <v>0</v>
      </c>
      <c r="F11" s="3">
        <v>50</v>
      </c>
      <c r="G11" s="3">
        <v>50</v>
      </c>
      <c r="H11" s="3">
        <v>0</v>
      </c>
      <c r="I11" s="3">
        <v>0</v>
      </c>
      <c r="J11" s="3">
        <v>0</v>
      </c>
      <c r="K11" s="5">
        <f t="shared" si="0"/>
        <v>0</v>
      </c>
      <c r="L11" s="87" t="str">
        <f t="shared" si="1"/>
        <v>0</v>
      </c>
      <c r="R11" s="82" t="s">
        <v>197</v>
      </c>
      <c r="S11" s="82"/>
      <c r="T11" s="82"/>
    </row>
    <row r="12" spans="1:21" s="83" customFormat="1" thickBot="1" x14ac:dyDescent="0.3">
      <c r="A12" s="2" t="s">
        <v>82</v>
      </c>
      <c r="B12" s="3">
        <v>0</v>
      </c>
      <c r="C12" s="3">
        <v>0.1</v>
      </c>
      <c r="D12" s="3">
        <v>0</v>
      </c>
      <c r="E12" s="3">
        <v>0</v>
      </c>
      <c r="F12" s="3">
        <v>50</v>
      </c>
      <c r="G12" s="3">
        <v>50</v>
      </c>
      <c r="H12" s="3">
        <v>0</v>
      </c>
      <c r="I12" s="271">
        <v>0</v>
      </c>
      <c r="J12" s="271">
        <v>0</v>
      </c>
      <c r="K12" s="263">
        <f t="shared" si="0"/>
        <v>0</v>
      </c>
      <c r="L12" s="265" t="str">
        <f t="shared" si="1"/>
        <v>0</v>
      </c>
      <c r="R12" s="82"/>
      <c r="S12" s="82"/>
      <c r="T12" s="82"/>
    </row>
    <row r="13" spans="1:21" s="83" customFormat="1" ht="14.4" thickBot="1" x14ac:dyDescent="0.3">
      <c r="A13" s="6"/>
      <c r="B13" s="7"/>
      <c r="C13" s="7"/>
      <c r="D13" s="7"/>
      <c r="E13" s="7"/>
      <c r="F13" s="7"/>
      <c r="G13" s="7"/>
      <c r="H13" s="7"/>
      <c r="I13" s="483" t="s">
        <v>300</v>
      </c>
      <c r="J13" s="484"/>
      <c r="K13" s="270">
        <f>SUM(K8:K12)</f>
        <v>770</v>
      </c>
      <c r="L13" s="270">
        <f>SUM(L8:L12)</f>
        <v>126</v>
      </c>
      <c r="R13" s="82" t="s">
        <v>195</v>
      </c>
      <c r="S13" s="82"/>
      <c r="T13" s="82"/>
    </row>
    <row r="14" spans="1:21" s="83" customFormat="1" ht="13.2" x14ac:dyDescent="0.25">
      <c r="A14" s="2" t="s">
        <v>72</v>
      </c>
      <c r="B14" s="3">
        <v>0</v>
      </c>
      <c r="C14" s="3">
        <v>0.1</v>
      </c>
      <c r="D14" s="3">
        <v>0</v>
      </c>
      <c r="E14" s="3">
        <v>0</v>
      </c>
      <c r="F14" s="3">
        <v>50</v>
      </c>
      <c r="G14" s="3">
        <v>50</v>
      </c>
      <c r="H14" s="3">
        <v>0</v>
      </c>
      <c r="I14" s="272">
        <v>0</v>
      </c>
      <c r="J14" s="272">
        <v>0</v>
      </c>
      <c r="K14" s="267">
        <f t="shared" ref="K14:K17" si="2">(ROUNDUP((((I14-(2*H14))/F14) +1+(E14-1)),0))*(ROUNDUP((J14/(C14-(D14/10))*B14),0))/2</f>
        <v>0</v>
      </c>
      <c r="L14" s="269" t="str">
        <f>IF(ROUNDUP(((J14/G14)+1),0)*ROUNDUP(((I14/F14)+1),0)/2&lt;1.1,"0",ROUNDUP(((J14/G14)+1),0)*ROUNDUP(((I14/F14)+1),0)/2)</f>
        <v>0</v>
      </c>
      <c r="R14" s="82" t="s">
        <v>196</v>
      </c>
      <c r="S14" s="82"/>
      <c r="T14" s="82"/>
    </row>
    <row r="15" spans="1:21" s="83" customFormat="1" ht="13.2" x14ac:dyDescent="0.25">
      <c r="A15" s="2" t="s">
        <v>73</v>
      </c>
      <c r="B15" s="3">
        <v>0</v>
      </c>
      <c r="C15" s="3">
        <v>0.1</v>
      </c>
      <c r="D15" s="3">
        <v>0</v>
      </c>
      <c r="E15" s="3">
        <v>0</v>
      </c>
      <c r="F15" s="3">
        <v>50</v>
      </c>
      <c r="G15" s="3">
        <v>50</v>
      </c>
      <c r="H15" s="3">
        <v>0</v>
      </c>
      <c r="I15" s="3">
        <v>0</v>
      </c>
      <c r="J15" s="3">
        <v>0</v>
      </c>
      <c r="K15" s="5">
        <f t="shared" si="2"/>
        <v>0</v>
      </c>
      <c r="L15" s="87" t="str">
        <f t="shared" ref="L15:L17" si="3">IF(ROUNDUP(((J15/G15)+1),0)*ROUNDUP(((I15/F15)+1),0)/2&lt;1.1,"0",ROUNDUP(((J15/G15)+1),0)*ROUNDUP(((I15/F15)+1),0)/2)</f>
        <v>0</v>
      </c>
      <c r="R15" s="82"/>
      <c r="S15" s="82"/>
      <c r="T15" s="82"/>
    </row>
    <row r="16" spans="1:21" s="83" customFormat="1" ht="13.2" x14ac:dyDescent="0.25">
      <c r="A16" s="2" t="s">
        <v>74</v>
      </c>
      <c r="B16" s="3">
        <v>0</v>
      </c>
      <c r="C16" s="3">
        <v>0.1</v>
      </c>
      <c r="D16" s="3">
        <v>0</v>
      </c>
      <c r="E16" s="3">
        <v>0</v>
      </c>
      <c r="F16" s="3">
        <v>50</v>
      </c>
      <c r="G16" s="3">
        <v>50</v>
      </c>
      <c r="H16" s="3">
        <v>0</v>
      </c>
      <c r="I16" s="3">
        <v>0</v>
      </c>
      <c r="J16" s="3">
        <v>0</v>
      </c>
      <c r="K16" s="5">
        <f t="shared" si="2"/>
        <v>0</v>
      </c>
      <c r="L16" s="87" t="str">
        <f t="shared" si="3"/>
        <v>0</v>
      </c>
      <c r="R16" s="84" t="s">
        <v>141</v>
      </c>
      <c r="S16" s="82"/>
      <c r="T16" s="82"/>
    </row>
    <row r="17" spans="1:20" s="83" customFormat="1" thickBot="1" x14ac:dyDescent="0.3">
      <c r="A17" s="2" t="s">
        <v>265</v>
      </c>
      <c r="B17" s="3">
        <v>0</v>
      </c>
      <c r="C17" s="3">
        <v>0.1</v>
      </c>
      <c r="D17" s="3">
        <v>0</v>
      </c>
      <c r="E17" s="3">
        <v>0</v>
      </c>
      <c r="F17" s="3">
        <v>50</v>
      </c>
      <c r="G17" s="3">
        <v>50</v>
      </c>
      <c r="H17" s="3">
        <v>0</v>
      </c>
      <c r="I17" s="271">
        <v>0</v>
      </c>
      <c r="J17" s="271">
        <v>0</v>
      </c>
      <c r="K17" s="263">
        <f t="shared" si="2"/>
        <v>0</v>
      </c>
      <c r="L17" s="265" t="str">
        <f t="shared" si="3"/>
        <v>0</v>
      </c>
      <c r="R17" s="82" t="s">
        <v>344</v>
      </c>
      <c r="S17" s="82"/>
      <c r="T17" s="82"/>
    </row>
    <row r="18" spans="1:20" s="83" customFormat="1" ht="14.4" thickBot="1" x14ac:dyDescent="0.3">
      <c r="A18" s="6"/>
      <c r="B18" s="6"/>
      <c r="C18" s="6"/>
      <c r="D18" s="6"/>
      <c r="E18" s="6"/>
      <c r="F18" s="6"/>
      <c r="G18" s="6"/>
      <c r="H18" s="6"/>
      <c r="I18" s="483" t="s">
        <v>278</v>
      </c>
      <c r="J18" s="484"/>
      <c r="K18" s="270">
        <f>SUM(K14:K17)</f>
        <v>0</v>
      </c>
      <c r="L18" s="270">
        <f>SUM(L14:L17)</f>
        <v>0</v>
      </c>
      <c r="R18" s="82" t="s">
        <v>172</v>
      </c>
      <c r="S18" s="82"/>
      <c r="T18" s="82"/>
    </row>
    <row r="19" spans="1:20" s="83" customFormat="1" ht="15" thickBot="1" x14ac:dyDescent="0.35">
      <c r="A19" s="88"/>
      <c r="B19" s="122" t="s">
        <v>284</v>
      </c>
      <c r="C19" s="128" t="s">
        <v>286</v>
      </c>
      <c r="D19" s="75" t="s">
        <v>285</v>
      </c>
      <c r="E19" s="88"/>
      <c r="F19" s="88"/>
      <c r="G19" s="88"/>
      <c r="H19" s="88"/>
      <c r="I19" s="442" t="s">
        <v>76</v>
      </c>
      <c r="J19" s="443"/>
      <c r="K19" s="119">
        <f>SUM(K18,K13)</f>
        <v>770</v>
      </c>
      <c r="L19" s="120">
        <f>SUM(L18,L13)</f>
        <v>126</v>
      </c>
      <c r="S19" s="82"/>
      <c r="T19" s="82"/>
    </row>
    <row r="20" spans="1:20" s="83" customFormat="1" ht="13.95" customHeight="1" x14ac:dyDescent="0.25">
      <c r="A20" s="2" t="s">
        <v>287</v>
      </c>
      <c r="B20" s="4">
        <v>20</v>
      </c>
      <c r="C20" s="4">
        <v>30</v>
      </c>
      <c r="D20" s="4">
        <v>30</v>
      </c>
      <c r="E20" s="82"/>
      <c r="F20" s="64"/>
      <c r="G20" s="86"/>
      <c r="H20" s="86"/>
      <c r="S20" s="82"/>
      <c r="T20" s="82"/>
    </row>
    <row r="21" spans="1:20" s="83" customFormat="1" ht="13.95" customHeight="1" x14ac:dyDescent="0.25">
      <c r="A21" s="82"/>
      <c r="B21" s="82"/>
      <c r="C21" s="82"/>
      <c r="D21" s="82"/>
      <c r="E21" s="82"/>
      <c r="F21" s="64"/>
      <c r="G21" s="86"/>
      <c r="H21" s="86"/>
      <c r="S21" s="82"/>
      <c r="T21" s="82"/>
    </row>
    <row r="22" spans="1:20" s="83" customFormat="1" ht="31.8" customHeight="1" x14ac:dyDescent="0.25">
      <c r="A22" s="220" t="s">
        <v>451</v>
      </c>
      <c r="B22" s="482" t="s">
        <v>431</v>
      </c>
      <c r="C22" s="482"/>
      <c r="D22" s="482"/>
      <c r="E22" s="694" t="s">
        <v>77</v>
      </c>
      <c r="F22" s="212" t="s">
        <v>328</v>
      </c>
      <c r="G22" s="212" t="s">
        <v>342</v>
      </c>
      <c r="H22" s="130" t="s">
        <v>137</v>
      </c>
    </row>
    <row r="23" spans="1:20" s="83" customFormat="1" ht="13.95" customHeight="1" x14ac:dyDescent="0.25">
      <c r="A23" s="211" t="s">
        <v>136</v>
      </c>
      <c r="B23" s="523" t="s">
        <v>199</v>
      </c>
      <c r="C23" s="690"/>
      <c r="D23" s="691"/>
      <c r="E23" s="679"/>
      <c r="F23" s="10"/>
      <c r="G23" s="183"/>
      <c r="H23" s="51"/>
      <c r="I23" s="173">
        <v>0.5</v>
      </c>
      <c r="J23" s="90" t="s">
        <v>343</v>
      </c>
      <c r="K23" s="174"/>
    </row>
    <row r="24" spans="1:20" s="83" customFormat="1" ht="13.95" customHeight="1" x14ac:dyDescent="0.25">
      <c r="A24" s="211" t="s">
        <v>136</v>
      </c>
      <c r="B24" s="523" t="s">
        <v>200</v>
      </c>
      <c r="C24" s="690"/>
      <c r="D24" s="691"/>
      <c r="E24" s="679"/>
      <c r="F24" s="10"/>
      <c r="G24" s="183"/>
      <c r="H24" s="175"/>
      <c r="I24" s="173">
        <v>0.5</v>
      </c>
      <c r="J24" s="90" t="s">
        <v>436</v>
      </c>
      <c r="K24" s="174"/>
    </row>
    <row r="25" spans="1:20" s="83" customFormat="1" ht="8.4" customHeight="1" x14ac:dyDescent="0.25">
      <c r="A25" s="91"/>
      <c r="B25" s="12"/>
      <c r="C25" s="13"/>
      <c r="D25" s="13"/>
      <c r="E25" s="14"/>
      <c r="F25" s="14"/>
      <c r="G25" s="14"/>
      <c r="H25" s="82"/>
      <c r="I25" s="82"/>
      <c r="J25" s="82"/>
    </row>
    <row r="26" spans="1:20" s="83" customFormat="1" ht="22.2" customHeight="1" x14ac:dyDescent="0.25">
      <c r="A26" s="750" t="s">
        <v>451</v>
      </c>
      <c r="B26" s="512" t="s">
        <v>432</v>
      </c>
      <c r="C26" s="512"/>
      <c r="D26" s="512"/>
      <c r="E26" s="692" t="s">
        <v>77</v>
      </c>
      <c r="F26" s="693" t="s">
        <v>439</v>
      </c>
      <c r="G26" s="126" t="s">
        <v>341</v>
      </c>
      <c r="H26" s="126" t="s">
        <v>137</v>
      </c>
      <c r="I26" s="82"/>
      <c r="J26" s="82"/>
    </row>
    <row r="27" spans="1:20" s="83" customFormat="1" ht="13.95" customHeight="1" x14ac:dyDescent="0.25">
      <c r="A27" s="211" t="s">
        <v>136</v>
      </c>
      <c r="B27" s="523" t="s">
        <v>277</v>
      </c>
      <c r="C27" s="690"/>
      <c r="D27" s="691"/>
      <c r="E27" s="679"/>
      <c r="F27" s="10"/>
      <c r="G27" s="183"/>
      <c r="H27" s="176"/>
      <c r="I27" s="90" t="s">
        <v>261</v>
      </c>
      <c r="J27" s="82"/>
    </row>
    <row r="28" spans="1:20" s="83" customFormat="1" ht="37.200000000000003" customHeight="1" x14ac:dyDescent="0.25">
      <c r="A28" s="91"/>
      <c r="B28" s="12"/>
      <c r="C28" s="13"/>
      <c r="D28" s="13"/>
      <c r="E28" s="14"/>
      <c r="F28" s="14"/>
      <c r="G28" s="14"/>
      <c r="H28" s="82"/>
      <c r="I28" s="82"/>
      <c r="J28" s="82"/>
    </row>
    <row r="29" spans="1:20" s="83" customFormat="1" ht="13.95" customHeight="1" thickBot="1" x14ac:dyDescent="0.3">
      <c r="A29" s="82"/>
      <c r="B29" s="82"/>
      <c r="C29" s="82"/>
      <c r="D29" s="82"/>
      <c r="E29" s="82"/>
      <c r="F29" s="82"/>
      <c r="G29" s="82"/>
      <c r="H29" s="82"/>
      <c r="I29" s="82"/>
      <c r="J29" s="82"/>
    </row>
    <row r="30" spans="1:20" s="83" customFormat="1" ht="34.200000000000003" customHeight="1" thickBot="1" x14ac:dyDescent="0.3">
      <c r="A30" s="186" t="s">
        <v>135</v>
      </c>
      <c r="B30" s="481" t="s">
        <v>2</v>
      </c>
      <c r="C30" s="481"/>
      <c r="D30" s="481"/>
      <c r="E30" s="187" t="s">
        <v>3</v>
      </c>
      <c r="F30" s="188" t="s">
        <v>328</v>
      </c>
      <c r="G30" s="309" t="s">
        <v>289</v>
      </c>
      <c r="H30" s="309" t="s">
        <v>385</v>
      </c>
      <c r="I30" s="188" t="s">
        <v>342</v>
      </c>
      <c r="J30" s="675" t="s">
        <v>147</v>
      </c>
      <c r="K30" s="82"/>
    </row>
    <row r="31" spans="1:20" s="83" customFormat="1" ht="12" customHeight="1" x14ac:dyDescent="0.25">
      <c r="A31" s="164" t="s">
        <v>303</v>
      </c>
      <c r="B31" s="695" t="s">
        <v>175</v>
      </c>
      <c r="C31" s="696"/>
      <c r="D31" s="697"/>
      <c r="E31" s="678" t="s">
        <v>176</v>
      </c>
      <c r="F31" s="41">
        <f>40-18-3.5</f>
        <v>18.5</v>
      </c>
      <c r="G31" s="340">
        <v>40</v>
      </c>
      <c r="H31" s="340">
        <v>18</v>
      </c>
      <c r="I31" s="341">
        <v>500</v>
      </c>
      <c r="J31" s="676">
        <f>ROUNDUP((($K$19/I31)/2),0)</f>
        <v>1</v>
      </c>
      <c r="K31" s="82"/>
      <c r="L31" s="526" t="s">
        <v>389</v>
      </c>
      <c r="M31" s="527"/>
      <c r="P31" s="171" t="s">
        <v>171</v>
      </c>
    </row>
    <row r="32" spans="1:20" s="83" customFormat="1" ht="12" customHeight="1" x14ac:dyDescent="0.25">
      <c r="A32" s="178"/>
      <c r="B32" s="698" t="s">
        <v>177</v>
      </c>
      <c r="C32" s="699"/>
      <c r="D32" s="700"/>
      <c r="E32" s="679" t="s">
        <v>178</v>
      </c>
      <c r="F32" s="10">
        <f>45-18-3.5</f>
        <v>23.5</v>
      </c>
      <c r="G32" s="343">
        <v>45</v>
      </c>
      <c r="H32" s="343">
        <v>18</v>
      </c>
      <c r="I32" s="183">
        <v>500</v>
      </c>
      <c r="J32" s="676">
        <f t="shared" ref="J32:J38" si="4">ROUNDUP((($K$19/I32)/2),0)</f>
        <v>1</v>
      </c>
      <c r="K32" s="82"/>
      <c r="L32" s="528"/>
      <c r="M32" s="528"/>
    </row>
    <row r="33" spans="1:25" s="83" customFormat="1" ht="12" customHeight="1" x14ac:dyDescent="0.25">
      <c r="A33" s="178"/>
      <c r="B33" s="698" t="s">
        <v>179</v>
      </c>
      <c r="C33" s="699"/>
      <c r="D33" s="700"/>
      <c r="E33" s="679" t="s">
        <v>180</v>
      </c>
      <c r="F33" s="10">
        <f>50-21-3.5</f>
        <v>25.5</v>
      </c>
      <c r="G33" s="343">
        <v>50</v>
      </c>
      <c r="H33" s="343">
        <v>21</v>
      </c>
      <c r="I33" s="183">
        <v>500</v>
      </c>
      <c r="J33" s="344">
        <f t="shared" si="4"/>
        <v>1</v>
      </c>
      <c r="K33" s="82"/>
      <c r="L33" s="426"/>
      <c r="M33" s="426"/>
      <c r="P33" s="172" t="s">
        <v>335</v>
      </c>
      <c r="Q33" s="94"/>
      <c r="R33" s="82"/>
      <c r="S33" s="82"/>
      <c r="T33" s="82"/>
      <c r="U33" s="82"/>
      <c r="V33" s="82"/>
      <c r="W33" s="82"/>
      <c r="X33" s="82"/>
      <c r="Y33" s="82"/>
    </row>
    <row r="34" spans="1:25" s="83" customFormat="1" ht="12" customHeight="1" x14ac:dyDescent="0.25">
      <c r="A34" s="178"/>
      <c r="B34" s="698" t="s">
        <v>181</v>
      </c>
      <c r="C34" s="699"/>
      <c r="D34" s="700"/>
      <c r="E34" s="679" t="s">
        <v>182</v>
      </c>
      <c r="F34" s="10">
        <f>60-24-3.5</f>
        <v>32.5</v>
      </c>
      <c r="G34" s="343">
        <v>60</v>
      </c>
      <c r="H34" s="343">
        <v>24</v>
      </c>
      <c r="I34" s="183">
        <v>250</v>
      </c>
      <c r="J34" s="677">
        <f t="shared" si="4"/>
        <v>2</v>
      </c>
      <c r="K34" s="82"/>
      <c r="L34" s="519"/>
      <c r="M34" s="519"/>
      <c r="P34" s="486" t="s">
        <v>170</v>
      </c>
      <c r="Q34" s="487"/>
      <c r="R34" s="487"/>
      <c r="S34" s="488" t="s">
        <v>155</v>
      </c>
      <c r="T34" s="488"/>
      <c r="U34" s="488" t="s">
        <v>156</v>
      </c>
      <c r="V34" s="488"/>
      <c r="W34" s="82"/>
      <c r="X34" s="82"/>
      <c r="Y34" s="82"/>
    </row>
    <row r="35" spans="1:25" s="83" customFormat="1" ht="12" customHeight="1" x14ac:dyDescent="0.25">
      <c r="A35" s="190" t="s">
        <v>245</v>
      </c>
      <c r="B35" s="698" t="s">
        <v>183</v>
      </c>
      <c r="C35" s="699"/>
      <c r="D35" s="700"/>
      <c r="E35" s="620" t="s">
        <v>184</v>
      </c>
      <c r="F35" s="10">
        <f>40-18-3.5</f>
        <v>18.5</v>
      </c>
      <c r="G35" s="343">
        <v>40</v>
      </c>
      <c r="H35" s="343">
        <v>18</v>
      </c>
      <c r="I35" s="11">
        <v>500</v>
      </c>
      <c r="J35" s="344">
        <f t="shared" si="4"/>
        <v>1</v>
      </c>
      <c r="K35" s="82"/>
      <c r="L35" s="501" t="s">
        <v>288</v>
      </c>
      <c r="M35" s="502"/>
      <c r="P35" s="486" t="s">
        <v>320</v>
      </c>
      <c r="Q35" s="487"/>
      <c r="R35" s="487"/>
      <c r="S35" s="95" t="s">
        <v>157</v>
      </c>
      <c r="T35" s="95" t="s">
        <v>158</v>
      </c>
      <c r="U35" s="95" t="s">
        <v>157</v>
      </c>
      <c r="V35" s="95" t="s">
        <v>158</v>
      </c>
      <c r="W35" s="82"/>
      <c r="X35" s="82"/>
      <c r="Y35" s="82"/>
    </row>
    <row r="36" spans="1:25" s="83" customFormat="1" ht="12" customHeight="1" x14ac:dyDescent="0.25">
      <c r="A36" s="190" t="s">
        <v>244</v>
      </c>
      <c r="B36" s="698" t="s">
        <v>185</v>
      </c>
      <c r="C36" s="699"/>
      <c r="D36" s="700"/>
      <c r="E36" s="620" t="s">
        <v>186</v>
      </c>
      <c r="F36" s="10">
        <f>45-18-3.5</f>
        <v>23.5</v>
      </c>
      <c r="G36" s="343">
        <v>45</v>
      </c>
      <c r="H36" s="343">
        <v>18</v>
      </c>
      <c r="I36" s="11">
        <v>500</v>
      </c>
      <c r="J36" s="677">
        <f t="shared" si="4"/>
        <v>1</v>
      </c>
      <c r="K36" s="82"/>
      <c r="L36" s="533" t="s">
        <v>435</v>
      </c>
      <c r="M36" s="534"/>
      <c r="P36" s="489" t="s">
        <v>321</v>
      </c>
      <c r="Q36" s="490"/>
      <c r="R36" s="63" t="s">
        <v>159</v>
      </c>
      <c r="S36" s="96">
        <v>76.49603890425729</v>
      </c>
      <c r="T36" s="96">
        <v>45.103796523736598</v>
      </c>
      <c r="U36" s="96">
        <v>60.489731371476182</v>
      </c>
      <c r="V36" s="96">
        <v>35.666115195445862</v>
      </c>
      <c r="W36" s="82"/>
      <c r="X36" s="82"/>
      <c r="Y36" s="82"/>
    </row>
    <row r="37" spans="1:25" s="83" customFormat="1" ht="12" customHeight="1" x14ac:dyDescent="0.25">
      <c r="A37" s="178"/>
      <c r="B37" s="698" t="s">
        <v>187</v>
      </c>
      <c r="C37" s="699"/>
      <c r="D37" s="700"/>
      <c r="E37" s="620" t="s">
        <v>188</v>
      </c>
      <c r="F37" s="10">
        <f>50-21-3.5</f>
        <v>25.5</v>
      </c>
      <c r="G37" s="343">
        <v>50</v>
      </c>
      <c r="H37" s="343">
        <v>21</v>
      </c>
      <c r="I37" s="11">
        <v>500</v>
      </c>
      <c r="J37" s="344">
        <f t="shared" si="4"/>
        <v>1</v>
      </c>
      <c r="K37" s="82"/>
      <c r="P37" s="491"/>
      <c r="Q37" s="492"/>
      <c r="R37" s="63" t="s">
        <v>160</v>
      </c>
      <c r="S37" s="96">
        <v>65.277503317253277</v>
      </c>
      <c r="T37" s="96">
        <v>38.489093937059707</v>
      </c>
      <c r="U37" s="96">
        <v>53.401690033607139</v>
      </c>
      <c r="V37" s="96">
        <v>31.486845538683454</v>
      </c>
      <c r="W37" s="82"/>
      <c r="X37" s="82"/>
      <c r="Y37" s="82"/>
    </row>
    <row r="38" spans="1:25" s="83" customFormat="1" ht="12" customHeight="1" x14ac:dyDescent="0.25">
      <c r="A38" s="178"/>
      <c r="B38" s="701" t="s">
        <v>189</v>
      </c>
      <c r="C38" s="699"/>
      <c r="D38" s="700"/>
      <c r="E38" s="620" t="s">
        <v>190</v>
      </c>
      <c r="F38" s="10">
        <f>60-24-3.5</f>
        <v>32.5</v>
      </c>
      <c r="G38" s="343">
        <v>60</v>
      </c>
      <c r="H38" s="343">
        <v>24</v>
      </c>
      <c r="I38" s="11">
        <v>250</v>
      </c>
      <c r="J38" s="677">
        <f t="shared" si="4"/>
        <v>2</v>
      </c>
      <c r="K38" s="82"/>
      <c r="L38" s="425" t="s">
        <v>437</v>
      </c>
      <c r="M38" s="503"/>
      <c r="P38" s="493"/>
      <c r="Q38" s="494"/>
      <c r="R38" s="63" t="s">
        <v>161</v>
      </c>
      <c r="S38" s="96">
        <v>59.446627424799878</v>
      </c>
      <c r="T38" s="96">
        <v>35.05107749103766</v>
      </c>
      <c r="U38" s="96">
        <v>49.506733716280962</v>
      </c>
      <c r="V38" s="96">
        <v>29.190291106297739</v>
      </c>
      <c r="W38" s="82"/>
      <c r="X38" s="82"/>
      <c r="Y38" s="82"/>
    </row>
    <row r="39" spans="1:25" s="83" customFormat="1" ht="12" customHeight="1" x14ac:dyDescent="0.25">
      <c r="A39" s="178"/>
      <c r="B39" s="701" t="s">
        <v>191</v>
      </c>
      <c r="C39" s="699"/>
      <c r="D39" s="700"/>
      <c r="E39" s="620" t="s">
        <v>192</v>
      </c>
      <c r="F39" s="10">
        <f>70-24-3.5</f>
        <v>42.5</v>
      </c>
      <c r="G39" s="343">
        <v>70</v>
      </c>
      <c r="H39" s="343">
        <v>24</v>
      </c>
      <c r="I39" s="11">
        <v>200</v>
      </c>
      <c r="J39" s="344">
        <f>ROUNDUP((($K$19/I39)/2),0)</f>
        <v>2</v>
      </c>
      <c r="L39" s="503"/>
      <c r="M39" s="503"/>
      <c r="P39" s="82"/>
      <c r="Q39" s="94"/>
      <c r="R39" s="82"/>
      <c r="S39" s="82"/>
      <c r="T39" s="82"/>
      <c r="U39" s="82"/>
      <c r="V39" s="82"/>
      <c r="W39" s="82"/>
      <c r="X39" s="82"/>
      <c r="Y39" s="82"/>
    </row>
    <row r="40" spans="1:25" s="83" customFormat="1" ht="12" customHeight="1" thickBot="1" x14ac:dyDescent="0.3">
      <c r="A40" s="191"/>
      <c r="B40" s="702" t="s">
        <v>193</v>
      </c>
      <c r="C40" s="703"/>
      <c r="D40" s="704"/>
      <c r="E40" s="621" t="s">
        <v>194</v>
      </c>
      <c r="F40" s="45">
        <f>80-24-3.5</f>
        <v>52.5</v>
      </c>
      <c r="G40" s="345">
        <v>80</v>
      </c>
      <c r="H40" s="345">
        <v>24</v>
      </c>
      <c r="I40" s="46">
        <v>200</v>
      </c>
      <c r="J40" s="375">
        <f t="shared" ref="J40:J86" si="5">ROUNDUP((($K$19/I40)/2),0)</f>
        <v>2</v>
      </c>
      <c r="K40" s="82"/>
      <c r="L40" s="503"/>
      <c r="M40" s="503"/>
      <c r="P40" s="82"/>
      <c r="Q40" s="94"/>
      <c r="R40" s="82"/>
      <c r="S40" s="82"/>
      <c r="T40" s="82"/>
      <c r="U40" s="82"/>
      <c r="V40" s="82"/>
      <c r="W40" s="82"/>
      <c r="X40" s="82"/>
      <c r="Y40" s="82"/>
    </row>
    <row r="41" spans="1:25" s="83" customFormat="1" ht="12.6" customHeight="1" x14ac:dyDescent="0.25">
      <c r="A41" s="164" t="s">
        <v>304</v>
      </c>
      <c r="B41" s="705" t="s">
        <v>40</v>
      </c>
      <c r="C41" s="696"/>
      <c r="D41" s="697"/>
      <c r="E41" s="622" t="s">
        <v>41</v>
      </c>
      <c r="F41" s="41">
        <f>40-18-3.5</f>
        <v>18.5</v>
      </c>
      <c r="G41" s="340">
        <v>40</v>
      </c>
      <c r="H41" s="340">
        <v>18</v>
      </c>
      <c r="I41" s="42">
        <v>500</v>
      </c>
      <c r="J41" s="380">
        <f t="shared" si="5"/>
        <v>1</v>
      </c>
      <c r="K41" s="82"/>
      <c r="L41" s="503"/>
      <c r="M41" s="503"/>
      <c r="P41" s="37" t="s">
        <v>162</v>
      </c>
      <c r="Q41" s="94"/>
      <c r="R41" s="82"/>
      <c r="S41" s="82"/>
      <c r="T41" s="82"/>
      <c r="U41" s="82"/>
      <c r="V41" s="82"/>
      <c r="W41" s="82"/>
      <c r="X41" s="82"/>
      <c r="Y41" s="82"/>
    </row>
    <row r="42" spans="1:25" s="83" customFormat="1" ht="12.6" customHeight="1" x14ac:dyDescent="0.25">
      <c r="A42" s="178"/>
      <c r="B42" s="706" t="s">
        <v>42</v>
      </c>
      <c r="C42" s="699"/>
      <c r="D42" s="700"/>
      <c r="E42" s="623" t="s">
        <v>43</v>
      </c>
      <c r="F42" s="10">
        <f>45-18-3.5</f>
        <v>23.5</v>
      </c>
      <c r="G42" s="343">
        <v>45</v>
      </c>
      <c r="H42" s="343">
        <v>18</v>
      </c>
      <c r="I42" s="11">
        <v>500</v>
      </c>
      <c r="J42" s="676">
        <f t="shared" si="5"/>
        <v>1</v>
      </c>
      <c r="K42" s="82"/>
      <c r="L42" s="503"/>
      <c r="M42" s="503"/>
      <c r="P42" s="32" t="s">
        <v>163</v>
      </c>
      <c r="Q42" s="440" t="s">
        <v>164</v>
      </c>
      <c r="R42" s="530"/>
      <c r="S42" s="530"/>
      <c r="T42" s="530"/>
      <c r="U42" s="530"/>
      <c r="V42" s="530"/>
      <c r="W42" s="530"/>
      <c r="X42" s="530"/>
      <c r="Y42" s="530"/>
    </row>
    <row r="43" spans="1:25" s="83" customFormat="1" ht="12.6" customHeight="1" x14ac:dyDescent="0.25">
      <c r="A43" s="178"/>
      <c r="B43" s="706" t="s">
        <v>44</v>
      </c>
      <c r="C43" s="699"/>
      <c r="D43" s="700"/>
      <c r="E43" s="623" t="s">
        <v>45</v>
      </c>
      <c r="F43" s="10">
        <f>50-21-3.5</f>
        <v>25.5</v>
      </c>
      <c r="G43" s="343">
        <v>50</v>
      </c>
      <c r="H43" s="343">
        <v>21</v>
      </c>
      <c r="I43" s="11">
        <v>500</v>
      </c>
      <c r="J43" s="344">
        <f t="shared" si="5"/>
        <v>1</v>
      </c>
      <c r="K43" s="82"/>
      <c r="L43" s="503"/>
      <c r="M43" s="503"/>
      <c r="P43" s="32" t="s">
        <v>163</v>
      </c>
      <c r="Q43" s="440" t="s">
        <v>233</v>
      </c>
      <c r="R43" s="516"/>
      <c r="S43" s="516"/>
      <c r="T43" s="516"/>
      <c r="U43" s="516"/>
      <c r="V43" s="516"/>
      <c r="W43" s="516"/>
      <c r="X43" s="516"/>
      <c r="Y43" s="516"/>
    </row>
    <row r="44" spans="1:25" s="83" customFormat="1" ht="12.6" customHeight="1" x14ac:dyDescent="0.25">
      <c r="A44" s="190" t="s">
        <v>23</v>
      </c>
      <c r="B44" s="706" t="s">
        <v>46</v>
      </c>
      <c r="C44" s="699"/>
      <c r="D44" s="700"/>
      <c r="E44" s="623" t="s">
        <v>47</v>
      </c>
      <c r="F44" s="10">
        <f>60-24-3.5</f>
        <v>32.5</v>
      </c>
      <c r="G44" s="343">
        <v>60</v>
      </c>
      <c r="H44" s="343">
        <v>24</v>
      </c>
      <c r="I44" s="11">
        <v>250</v>
      </c>
      <c r="J44" s="375">
        <f t="shared" si="5"/>
        <v>2</v>
      </c>
      <c r="K44" s="82"/>
      <c r="P44" s="32" t="s">
        <v>163</v>
      </c>
      <c r="Q44" s="516"/>
      <c r="R44" s="516"/>
      <c r="S44" s="516"/>
      <c r="T44" s="516"/>
      <c r="U44" s="516"/>
      <c r="V44" s="516"/>
      <c r="W44" s="516"/>
      <c r="X44" s="516"/>
      <c r="Y44" s="516"/>
    </row>
    <row r="45" spans="1:25" s="83" customFormat="1" ht="12.6" customHeight="1" x14ac:dyDescent="0.25">
      <c r="A45" s="178"/>
      <c r="B45" s="706" t="s">
        <v>48</v>
      </c>
      <c r="C45" s="699"/>
      <c r="D45" s="700"/>
      <c r="E45" s="623" t="s">
        <v>49</v>
      </c>
      <c r="F45" s="10">
        <f>70-24-3.5</f>
        <v>42.5</v>
      </c>
      <c r="G45" s="343">
        <v>70</v>
      </c>
      <c r="H45" s="343">
        <v>24</v>
      </c>
      <c r="I45" s="11">
        <v>200</v>
      </c>
      <c r="J45" s="375">
        <f t="shared" si="5"/>
        <v>2</v>
      </c>
      <c r="K45" s="82"/>
      <c r="L45" s="425" t="s">
        <v>384</v>
      </c>
      <c r="M45" s="426"/>
      <c r="P45" s="32" t="s">
        <v>163</v>
      </c>
      <c r="Q45" s="440" t="s">
        <v>166</v>
      </c>
      <c r="R45" s="440"/>
      <c r="S45" s="440"/>
      <c r="T45" s="440"/>
      <c r="U45" s="440"/>
      <c r="V45" s="440"/>
      <c r="W45" s="440"/>
      <c r="X45" s="440"/>
      <c r="Y45" s="440"/>
    </row>
    <row r="46" spans="1:25" s="83" customFormat="1" ht="11.4" customHeight="1" thickBot="1" x14ac:dyDescent="0.3">
      <c r="A46" s="191"/>
      <c r="B46" s="707" t="s">
        <v>50</v>
      </c>
      <c r="C46" s="703"/>
      <c r="D46" s="704"/>
      <c r="E46" s="624" t="s">
        <v>51</v>
      </c>
      <c r="F46" s="45">
        <f>80-24-3.5</f>
        <v>52.5</v>
      </c>
      <c r="G46" s="345">
        <v>80</v>
      </c>
      <c r="H46" s="345">
        <v>24</v>
      </c>
      <c r="I46" s="46">
        <v>200</v>
      </c>
      <c r="J46" s="375">
        <f t="shared" si="5"/>
        <v>2</v>
      </c>
      <c r="K46" s="82"/>
      <c r="L46" s="426"/>
      <c r="M46" s="426"/>
      <c r="P46" s="206"/>
      <c r="Q46" s="440" t="s">
        <v>167</v>
      </c>
      <c r="R46" s="440"/>
      <c r="S46" s="440"/>
      <c r="T46" s="440"/>
      <c r="U46" s="440"/>
      <c r="V46" s="440"/>
      <c r="W46" s="440"/>
      <c r="X46" s="440"/>
      <c r="Y46" s="440"/>
    </row>
    <row r="47" spans="1:25" s="83" customFormat="1" ht="11.4" customHeight="1" thickBot="1" x14ac:dyDescent="0.3">
      <c r="A47" s="192" t="s">
        <v>99</v>
      </c>
      <c r="B47" s="708" t="s">
        <v>97</v>
      </c>
      <c r="C47" s="709"/>
      <c r="D47" s="710"/>
      <c r="E47" s="680" t="s">
        <v>98</v>
      </c>
      <c r="F47" s="193">
        <f>60-30.5</f>
        <v>29.5</v>
      </c>
      <c r="G47" s="347">
        <v>60</v>
      </c>
      <c r="H47" s="347">
        <v>27</v>
      </c>
      <c r="I47" s="348">
        <v>500</v>
      </c>
      <c r="J47" s="342">
        <f t="shared" si="5"/>
        <v>1</v>
      </c>
      <c r="K47" s="82"/>
      <c r="L47" s="426"/>
      <c r="M47" s="426"/>
      <c r="P47" s="32" t="s">
        <v>163</v>
      </c>
      <c r="Q47" s="529"/>
      <c r="R47" s="529"/>
      <c r="S47" s="529"/>
      <c r="T47" s="529"/>
      <c r="U47" s="529"/>
      <c r="V47" s="529"/>
      <c r="W47" s="529"/>
      <c r="X47" s="529"/>
      <c r="Y47" s="529"/>
    </row>
    <row r="48" spans="1:25" s="83" customFormat="1" ht="11.4" customHeight="1" x14ac:dyDescent="0.25">
      <c r="A48" s="164" t="s">
        <v>222</v>
      </c>
      <c r="B48" s="711" t="s">
        <v>201</v>
      </c>
      <c r="C48" s="696"/>
      <c r="D48" s="697"/>
      <c r="E48" s="681">
        <v>16634030</v>
      </c>
      <c r="F48" s="377">
        <f xml:space="preserve"> 30-15-3.5</f>
        <v>11.5</v>
      </c>
      <c r="G48" s="349">
        <v>30</v>
      </c>
      <c r="H48" s="349">
        <v>15</v>
      </c>
      <c r="I48" s="42">
        <v>500</v>
      </c>
      <c r="J48" s="380">
        <f t="shared" si="5"/>
        <v>1</v>
      </c>
      <c r="K48" s="82"/>
      <c r="L48" s="426"/>
      <c r="M48" s="426"/>
      <c r="P48" s="32" t="s">
        <v>163</v>
      </c>
      <c r="Q48" s="440" t="s">
        <v>168</v>
      </c>
      <c r="R48" s="440"/>
      <c r="S48" s="440"/>
      <c r="T48" s="440"/>
      <c r="U48" s="440"/>
      <c r="V48" s="440"/>
      <c r="W48" s="440"/>
      <c r="X48" s="440"/>
      <c r="Y48" s="440"/>
    </row>
    <row r="49" spans="1:25" s="83" customFormat="1" ht="11.4" customHeight="1" x14ac:dyDescent="0.25">
      <c r="A49" s="178"/>
      <c r="B49" s="712" t="s">
        <v>202</v>
      </c>
      <c r="C49" s="699"/>
      <c r="D49" s="700"/>
      <c r="E49" s="682" t="s">
        <v>203</v>
      </c>
      <c r="F49" s="378">
        <f>35-21.5</f>
        <v>13.5</v>
      </c>
      <c r="G49" s="350">
        <v>35</v>
      </c>
      <c r="H49" s="350">
        <v>18</v>
      </c>
      <c r="I49" s="11">
        <v>500</v>
      </c>
      <c r="J49" s="676">
        <f t="shared" si="5"/>
        <v>1</v>
      </c>
      <c r="K49" s="82"/>
      <c r="L49" s="425" t="s">
        <v>396</v>
      </c>
      <c r="M49" s="503"/>
      <c r="P49" s="32" t="s">
        <v>163</v>
      </c>
      <c r="Q49" s="440" t="s">
        <v>169</v>
      </c>
      <c r="R49" s="440"/>
      <c r="S49" s="440"/>
      <c r="T49" s="440"/>
      <c r="U49" s="440"/>
      <c r="V49" s="440"/>
      <c r="W49" s="440"/>
      <c r="X49" s="440"/>
      <c r="Y49" s="440"/>
    </row>
    <row r="50" spans="1:25" s="83" customFormat="1" ht="12" customHeight="1" x14ac:dyDescent="0.25">
      <c r="A50" s="178"/>
      <c r="B50" s="712" t="s">
        <v>204</v>
      </c>
      <c r="C50" s="699"/>
      <c r="D50" s="700"/>
      <c r="E50" s="682" t="s">
        <v>205</v>
      </c>
      <c r="F50" s="378">
        <f>40-24.5</f>
        <v>15.5</v>
      </c>
      <c r="G50" s="350">
        <v>40</v>
      </c>
      <c r="H50" s="350">
        <v>21</v>
      </c>
      <c r="I50" s="11">
        <v>500</v>
      </c>
      <c r="J50" s="344">
        <f t="shared" si="5"/>
        <v>1</v>
      </c>
      <c r="K50" s="82"/>
      <c r="L50" s="503"/>
      <c r="M50" s="503"/>
      <c r="P50" s="206"/>
      <c r="Q50" s="516"/>
      <c r="R50" s="516"/>
      <c r="S50" s="516"/>
      <c r="T50" s="516"/>
      <c r="U50" s="516"/>
      <c r="V50" s="516"/>
      <c r="W50" s="516"/>
      <c r="X50" s="516"/>
      <c r="Y50" s="516"/>
    </row>
    <row r="51" spans="1:25" s="83" customFormat="1" ht="12" customHeight="1" x14ac:dyDescent="0.25">
      <c r="A51" s="178"/>
      <c r="B51" s="712" t="s">
        <v>206</v>
      </c>
      <c r="C51" s="699"/>
      <c r="D51" s="700"/>
      <c r="E51" s="682" t="s">
        <v>207</v>
      </c>
      <c r="F51" s="378">
        <f>45-29.5</f>
        <v>15.5</v>
      </c>
      <c r="G51" s="350">
        <v>45</v>
      </c>
      <c r="H51" s="350">
        <v>26</v>
      </c>
      <c r="I51" s="11">
        <v>500</v>
      </c>
      <c r="J51" s="344">
        <f t="shared" si="5"/>
        <v>1</v>
      </c>
      <c r="K51" s="82"/>
      <c r="L51" s="503"/>
      <c r="M51" s="503"/>
    </row>
    <row r="52" spans="1:25" s="83" customFormat="1" ht="12" customHeight="1" x14ac:dyDescent="0.25">
      <c r="A52" s="178"/>
      <c r="B52" s="712" t="s">
        <v>208</v>
      </c>
      <c r="C52" s="699"/>
      <c r="D52" s="700"/>
      <c r="E52" s="682">
        <v>16634050</v>
      </c>
      <c r="F52" s="378">
        <f>50-29.5</f>
        <v>20.5</v>
      </c>
      <c r="G52" s="350">
        <v>50</v>
      </c>
      <c r="H52" s="350">
        <v>26</v>
      </c>
      <c r="I52" s="11">
        <v>500</v>
      </c>
      <c r="J52" s="344">
        <f t="shared" si="5"/>
        <v>1</v>
      </c>
      <c r="K52" s="82"/>
      <c r="L52" s="503"/>
      <c r="M52" s="503"/>
    </row>
    <row r="53" spans="1:25" s="83" customFormat="1" ht="12" customHeight="1" x14ac:dyDescent="0.25">
      <c r="A53" s="190" t="s">
        <v>246</v>
      </c>
      <c r="B53" s="712" t="s">
        <v>209</v>
      </c>
      <c r="C53" s="699"/>
      <c r="D53" s="700"/>
      <c r="E53" s="682" t="s">
        <v>210</v>
      </c>
      <c r="F53" s="378">
        <f>60-34.5</f>
        <v>25.5</v>
      </c>
      <c r="G53" s="350">
        <v>60</v>
      </c>
      <c r="H53" s="350">
        <v>31</v>
      </c>
      <c r="I53" s="11">
        <v>250</v>
      </c>
      <c r="J53" s="344">
        <f t="shared" si="5"/>
        <v>2</v>
      </c>
      <c r="K53" s="82"/>
      <c r="L53" s="503"/>
      <c r="M53" s="503"/>
    </row>
    <row r="54" spans="1:25" s="83" customFormat="1" ht="12" customHeight="1" x14ac:dyDescent="0.25">
      <c r="A54" s="178"/>
      <c r="B54" s="712" t="s">
        <v>211</v>
      </c>
      <c r="C54" s="699"/>
      <c r="D54" s="700"/>
      <c r="E54" s="682">
        <v>16634540</v>
      </c>
      <c r="F54" s="378">
        <f>40-26</f>
        <v>14</v>
      </c>
      <c r="G54" s="350">
        <v>40</v>
      </c>
      <c r="H54" s="350">
        <v>22</v>
      </c>
      <c r="I54" s="11">
        <v>500</v>
      </c>
      <c r="J54" s="344">
        <f t="shared" si="5"/>
        <v>1</v>
      </c>
      <c r="K54" s="82"/>
      <c r="L54" s="503"/>
      <c r="M54" s="503"/>
    </row>
    <row r="55" spans="1:25" s="83" customFormat="1" ht="12" customHeight="1" x14ac:dyDescent="0.25">
      <c r="A55" s="178"/>
      <c r="B55" s="712" t="s">
        <v>212</v>
      </c>
      <c r="C55" s="699"/>
      <c r="D55" s="700"/>
      <c r="E55" s="682" t="s">
        <v>213</v>
      </c>
      <c r="F55" s="378">
        <f>45-26</f>
        <v>19</v>
      </c>
      <c r="G55" s="350">
        <v>45</v>
      </c>
      <c r="H55" s="350">
        <v>22</v>
      </c>
      <c r="I55" s="11">
        <v>500</v>
      </c>
      <c r="J55" s="344">
        <f t="shared" si="5"/>
        <v>1</v>
      </c>
      <c r="K55" s="82"/>
      <c r="L55" s="519"/>
      <c r="M55" s="519"/>
    </row>
    <row r="56" spans="1:25" s="83" customFormat="1" ht="12" customHeight="1" x14ac:dyDescent="0.25">
      <c r="A56" s="178"/>
      <c r="B56" s="712" t="s">
        <v>214</v>
      </c>
      <c r="C56" s="699"/>
      <c r="D56" s="700"/>
      <c r="E56" s="682" t="s">
        <v>215</v>
      </c>
      <c r="F56" s="378">
        <f>50-28</f>
        <v>22</v>
      </c>
      <c r="G56" s="350">
        <v>50</v>
      </c>
      <c r="H56" s="350">
        <v>24</v>
      </c>
      <c r="I56" s="11">
        <v>500</v>
      </c>
      <c r="J56" s="344">
        <f t="shared" si="5"/>
        <v>1</v>
      </c>
      <c r="K56" s="82"/>
      <c r="L56" s="519"/>
      <c r="M56" s="519"/>
    </row>
    <row r="57" spans="1:25" s="83" customFormat="1" ht="12" customHeight="1" x14ac:dyDescent="0.25">
      <c r="A57" s="178"/>
      <c r="B57" s="712" t="s">
        <v>216</v>
      </c>
      <c r="C57" s="699"/>
      <c r="D57" s="700"/>
      <c r="E57" s="682" t="s">
        <v>217</v>
      </c>
      <c r="F57" s="378">
        <f>60-33</f>
        <v>27</v>
      </c>
      <c r="G57" s="350">
        <v>60</v>
      </c>
      <c r="H57" s="350">
        <v>29</v>
      </c>
      <c r="I57" s="11">
        <v>250</v>
      </c>
      <c r="J57" s="344">
        <f t="shared" si="5"/>
        <v>2</v>
      </c>
      <c r="K57" s="82"/>
      <c r="L57" s="519"/>
      <c r="M57" s="519"/>
    </row>
    <row r="58" spans="1:25" s="83" customFormat="1" ht="12" customHeight="1" x14ac:dyDescent="0.25">
      <c r="A58" s="178"/>
      <c r="B58" s="712" t="s">
        <v>218</v>
      </c>
      <c r="C58" s="699"/>
      <c r="D58" s="700"/>
      <c r="E58" s="682" t="s">
        <v>219</v>
      </c>
      <c r="F58" s="378">
        <f>70-38</f>
        <v>32</v>
      </c>
      <c r="G58" s="350">
        <v>70</v>
      </c>
      <c r="H58" s="350">
        <v>34</v>
      </c>
      <c r="I58" s="11">
        <v>200</v>
      </c>
      <c r="J58" s="375">
        <f t="shared" si="5"/>
        <v>2</v>
      </c>
      <c r="K58" s="82"/>
      <c r="L58" s="519"/>
      <c r="M58" s="519"/>
    </row>
    <row r="59" spans="1:25" s="83" customFormat="1" ht="12" customHeight="1" thickBot="1" x14ac:dyDescent="0.3">
      <c r="A59" s="191"/>
      <c r="B59" s="713" t="s">
        <v>220</v>
      </c>
      <c r="C59" s="703"/>
      <c r="D59" s="704"/>
      <c r="E59" s="683" t="s">
        <v>221</v>
      </c>
      <c r="F59" s="379">
        <f>80-43</f>
        <v>37</v>
      </c>
      <c r="G59" s="351">
        <v>80</v>
      </c>
      <c r="H59" s="351">
        <v>39</v>
      </c>
      <c r="I59" s="46">
        <v>200</v>
      </c>
      <c r="J59" s="375">
        <f t="shared" si="5"/>
        <v>2</v>
      </c>
      <c r="K59" s="82"/>
      <c r="L59" s="519"/>
      <c r="M59" s="519"/>
    </row>
    <row r="60" spans="1:25" s="83" customFormat="1" ht="12" customHeight="1" x14ac:dyDescent="0.25">
      <c r="A60" s="164" t="s">
        <v>96</v>
      </c>
      <c r="B60" s="711" t="s">
        <v>87</v>
      </c>
      <c r="C60" s="696"/>
      <c r="D60" s="697"/>
      <c r="E60" s="681" t="s">
        <v>88</v>
      </c>
      <c r="F60" s="361">
        <f>50-29.5</f>
        <v>20.5</v>
      </c>
      <c r="G60" s="352">
        <v>50</v>
      </c>
      <c r="H60" s="352">
        <v>26</v>
      </c>
      <c r="I60" s="42">
        <v>500</v>
      </c>
      <c r="J60" s="380">
        <f t="shared" si="5"/>
        <v>1</v>
      </c>
      <c r="K60" s="82"/>
      <c r="L60" s="82"/>
    </row>
    <row r="61" spans="1:25" s="83" customFormat="1" ht="12" customHeight="1" x14ac:dyDescent="0.25">
      <c r="A61" s="178"/>
      <c r="B61" s="712" t="s">
        <v>89</v>
      </c>
      <c r="C61" s="699"/>
      <c r="D61" s="700"/>
      <c r="E61" s="682" t="s">
        <v>90</v>
      </c>
      <c r="F61" s="359">
        <f>50-28</f>
        <v>22</v>
      </c>
      <c r="G61" s="353">
        <v>50</v>
      </c>
      <c r="H61" s="353">
        <v>24</v>
      </c>
      <c r="I61" s="11">
        <v>250</v>
      </c>
      <c r="J61" s="344">
        <f t="shared" si="5"/>
        <v>2</v>
      </c>
      <c r="K61" s="82"/>
      <c r="L61" s="82"/>
    </row>
    <row r="62" spans="1:25" s="83" customFormat="1" ht="12" customHeight="1" x14ac:dyDescent="0.25">
      <c r="A62" s="178"/>
      <c r="B62" s="712" t="s">
        <v>91</v>
      </c>
      <c r="C62" s="699"/>
      <c r="D62" s="700"/>
      <c r="E62" s="682">
        <v>16644560</v>
      </c>
      <c r="F62" s="359">
        <f>60-33</f>
        <v>27</v>
      </c>
      <c r="G62" s="353">
        <v>60</v>
      </c>
      <c r="H62" s="353">
        <v>29</v>
      </c>
      <c r="I62" s="11">
        <v>250</v>
      </c>
      <c r="J62" s="344">
        <f t="shared" si="5"/>
        <v>2</v>
      </c>
      <c r="K62" s="82"/>
      <c r="L62" s="84" t="s">
        <v>339</v>
      </c>
    </row>
    <row r="63" spans="1:25" s="83" customFormat="1" ht="12" customHeight="1" x14ac:dyDescent="0.25">
      <c r="A63" s="178"/>
      <c r="B63" s="712" t="s">
        <v>92</v>
      </c>
      <c r="C63" s="699"/>
      <c r="D63" s="700"/>
      <c r="E63" s="682" t="s">
        <v>93</v>
      </c>
      <c r="F63" s="359">
        <f>70-34</f>
        <v>36</v>
      </c>
      <c r="G63" s="353">
        <v>70</v>
      </c>
      <c r="H63" s="353">
        <v>34</v>
      </c>
      <c r="I63" s="11">
        <v>200</v>
      </c>
      <c r="J63" s="344">
        <f t="shared" si="5"/>
        <v>2</v>
      </c>
      <c r="K63" s="82"/>
      <c r="L63" s="535" t="s">
        <v>340</v>
      </c>
      <c r="M63" s="535"/>
      <c r="N63" s="535"/>
    </row>
    <row r="64" spans="1:25" s="83" customFormat="1" ht="12" customHeight="1" thickBot="1" x14ac:dyDescent="0.3">
      <c r="A64" s="190" t="s">
        <v>243</v>
      </c>
      <c r="B64" s="714" t="s">
        <v>94</v>
      </c>
      <c r="C64" s="715"/>
      <c r="D64" s="716"/>
      <c r="E64" s="684" t="s">
        <v>95</v>
      </c>
      <c r="F64" s="371">
        <f>80-39</f>
        <v>41</v>
      </c>
      <c r="G64" s="376">
        <v>80</v>
      </c>
      <c r="H64" s="376">
        <v>39</v>
      </c>
      <c r="I64" s="232">
        <v>200</v>
      </c>
      <c r="J64" s="375">
        <f t="shared" si="5"/>
        <v>2</v>
      </c>
      <c r="K64" s="82"/>
      <c r="L64" s="535"/>
      <c r="M64" s="535"/>
      <c r="N64" s="535"/>
    </row>
    <row r="65" spans="1:27" s="83" customFormat="1" ht="12" customHeight="1" x14ac:dyDescent="0.25">
      <c r="A65" s="164" t="s">
        <v>113</v>
      </c>
      <c r="B65" s="717" t="s">
        <v>409</v>
      </c>
      <c r="C65" s="718"/>
      <c r="D65" s="718"/>
      <c r="E65" s="207" t="s">
        <v>410</v>
      </c>
      <c r="F65" s="361">
        <f>40-25</f>
        <v>15</v>
      </c>
      <c r="G65" s="352">
        <v>40</v>
      </c>
      <c r="H65" s="165">
        <v>25</v>
      </c>
      <c r="I65" s="195">
        <v>500</v>
      </c>
      <c r="J65" s="380">
        <f t="shared" si="5"/>
        <v>1</v>
      </c>
      <c r="K65" s="82"/>
      <c r="L65" s="82"/>
    </row>
    <row r="66" spans="1:27" s="83" customFormat="1" ht="12" customHeight="1" x14ac:dyDescent="0.25">
      <c r="A66" s="374"/>
      <c r="B66" s="719" t="s">
        <v>402</v>
      </c>
      <c r="C66" s="720"/>
      <c r="D66" s="720"/>
      <c r="E66" s="181" t="s">
        <v>403</v>
      </c>
      <c r="F66" s="359">
        <f>40-24</f>
        <v>16</v>
      </c>
      <c r="G66" s="353">
        <v>40</v>
      </c>
      <c r="H66" s="98">
        <v>24</v>
      </c>
      <c r="I66" s="179">
        <v>500</v>
      </c>
      <c r="J66" s="344">
        <f t="shared" si="5"/>
        <v>1</v>
      </c>
      <c r="K66" s="82"/>
      <c r="L66" s="273" t="s">
        <v>367</v>
      </c>
    </row>
    <row r="67" spans="1:27" s="83" customFormat="1" ht="12" customHeight="1" x14ac:dyDescent="0.25">
      <c r="A67" s="374"/>
      <c r="B67" s="719" t="s">
        <v>406</v>
      </c>
      <c r="C67" s="720"/>
      <c r="D67" s="720"/>
      <c r="E67" s="181" t="s">
        <v>404</v>
      </c>
      <c r="F67" s="359">
        <f>45-29</f>
        <v>16</v>
      </c>
      <c r="G67" s="353">
        <v>45</v>
      </c>
      <c r="H67" s="98">
        <v>29</v>
      </c>
      <c r="I67" s="179">
        <v>500</v>
      </c>
      <c r="J67" s="344">
        <f t="shared" si="5"/>
        <v>1</v>
      </c>
      <c r="K67" s="82"/>
      <c r="L67" s="82"/>
    </row>
    <row r="68" spans="1:27" s="83" customFormat="1" ht="12" customHeight="1" x14ac:dyDescent="0.25">
      <c r="A68" s="374"/>
      <c r="B68" s="719" t="s">
        <v>407</v>
      </c>
      <c r="C68" s="720"/>
      <c r="D68" s="720"/>
      <c r="E68" s="181" t="s">
        <v>405</v>
      </c>
      <c r="F68" s="359">
        <f>55-39</f>
        <v>16</v>
      </c>
      <c r="G68" s="353">
        <v>50</v>
      </c>
      <c r="H68" s="99">
        <v>34</v>
      </c>
      <c r="I68" s="180">
        <v>500</v>
      </c>
      <c r="J68" s="344">
        <f t="shared" si="5"/>
        <v>1</v>
      </c>
      <c r="K68" s="82"/>
      <c r="L68" s="273" t="s">
        <v>368</v>
      </c>
    </row>
    <row r="69" spans="1:27" s="83" customFormat="1" ht="12" customHeight="1" x14ac:dyDescent="0.25">
      <c r="A69" s="374"/>
      <c r="B69" s="721" t="s">
        <v>101</v>
      </c>
      <c r="C69" s="722"/>
      <c r="D69" s="722"/>
      <c r="E69" s="181" t="s">
        <v>102</v>
      </c>
      <c r="F69" s="359">
        <f t="shared" ref="F69" si="6">55-39</f>
        <v>16</v>
      </c>
      <c r="G69" s="353">
        <v>55</v>
      </c>
      <c r="H69" s="353">
        <v>39</v>
      </c>
      <c r="I69" s="180">
        <v>250</v>
      </c>
      <c r="J69" s="344">
        <f t="shared" si="5"/>
        <v>2</v>
      </c>
      <c r="K69" s="82"/>
      <c r="L69" s="82"/>
    </row>
    <row r="70" spans="1:27" s="83" customFormat="1" ht="12" customHeight="1" x14ac:dyDescent="0.25">
      <c r="A70" s="177"/>
      <c r="B70" s="723" t="s">
        <v>103</v>
      </c>
      <c r="C70" s="722"/>
      <c r="D70" s="722"/>
      <c r="E70" s="181" t="s">
        <v>104</v>
      </c>
      <c r="F70" s="359">
        <f>60-39</f>
        <v>21</v>
      </c>
      <c r="G70" s="353">
        <v>60</v>
      </c>
      <c r="H70" s="353">
        <v>39</v>
      </c>
      <c r="I70" s="180">
        <v>250</v>
      </c>
      <c r="J70" s="344">
        <f t="shared" si="5"/>
        <v>2</v>
      </c>
      <c r="K70" s="82"/>
    </row>
    <row r="71" spans="1:27" s="83" customFormat="1" ht="12" customHeight="1" x14ac:dyDescent="0.25">
      <c r="A71" s="177"/>
      <c r="B71" s="723" t="s">
        <v>105</v>
      </c>
      <c r="C71" s="722"/>
      <c r="D71" s="722"/>
      <c r="E71" s="181" t="s">
        <v>106</v>
      </c>
      <c r="F71" s="359">
        <f>70-39</f>
        <v>31</v>
      </c>
      <c r="G71" s="353">
        <v>70</v>
      </c>
      <c r="H71" s="353">
        <v>39</v>
      </c>
      <c r="I71" s="11">
        <v>200</v>
      </c>
      <c r="J71" s="344">
        <f t="shared" si="5"/>
        <v>2</v>
      </c>
      <c r="K71" s="82"/>
    </row>
    <row r="72" spans="1:27" s="83" customFormat="1" ht="12" customHeight="1" x14ac:dyDescent="0.25">
      <c r="A72" s="177"/>
      <c r="B72" s="723" t="s">
        <v>107</v>
      </c>
      <c r="C72" s="722"/>
      <c r="D72" s="722"/>
      <c r="E72" s="181" t="s">
        <v>108</v>
      </c>
      <c r="F72" s="359">
        <f>60-38</f>
        <v>22</v>
      </c>
      <c r="G72" s="353">
        <v>60</v>
      </c>
      <c r="H72" s="353">
        <v>38</v>
      </c>
      <c r="I72" s="180">
        <v>250</v>
      </c>
      <c r="J72" s="344">
        <f t="shared" si="5"/>
        <v>2</v>
      </c>
      <c r="K72" s="82"/>
      <c r="AA72" s="93"/>
    </row>
    <row r="73" spans="1:27" s="83" customFormat="1" ht="12" customHeight="1" x14ac:dyDescent="0.25">
      <c r="A73" s="177"/>
      <c r="B73" s="723" t="s">
        <v>109</v>
      </c>
      <c r="C73" s="722"/>
      <c r="D73" s="722"/>
      <c r="E73" s="181" t="s">
        <v>110</v>
      </c>
      <c r="F73" s="359">
        <f>70-43</f>
        <v>27</v>
      </c>
      <c r="G73" s="353">
        <v>70</v>
      </c>
      <c r="H73" s="353">
        <v>43</v>
      </c>
      <c r="I73" s="11">
        <v>200</v>
      </c>
      <c r="J73" s="344">
        <f t="shared" si="5"/>
        <v>2</v>
      </c>
      <c r="K73" s="82"/>
      <c r="L73" s="82"/>
      <c r="AA73" s="93"/>
    </row>
    <row r="74" spans="1:27" s="83" customFormat="1" ht="12" customHeight="1" thickBot="1" x14ac:dyDescent="0.3">
      <c r="A74" s="200"/>
      <c r="B74" s="724" t="s">
        <v>111</v>
      </c>
      <c r="C74" s="725"/>
      <c r="D74" s="725"/>
      <c r="E74" s="685" t="s">
        <v>112</v>
      </c>
      <c r="F74" s="371">
        <f>80-48</f>
        <v>32</v>
      </c>
      <c r="G74" s="376">
        <v>80</v>
      </c>
      <c r="H74" s="376">
        <v>48</v>
      </c>
      <c r="I74" s="232">
        <v>200</v>
      </c>
      <c r="J74" s="677">
        <f t="shared" si="5"/>
        <v>2</v>
      </c>
      <c r="K74" s="82"/>
      <c r="L74" s="82"/>
    </row>
    <row r="75" spans="1:27" ht="12" customHeight="1" x14ac:dyDescent="0.25">
      <c r="A75" s="386" t="s">
        <v>134</v>
      </c>
      <c r="B75" s="726" t="s">
        <v>126</v>
      </c>
      <c r="C75" s="727"/>
      <c r="D75" s="727"/>
      <c r="E75" s="207" t="s">
        <v>127</v>
      </c>
      <c r="F75" s="361">
        <f>60-39</f>
        <v>21</v>
      </c>
      <c r="G75" s="352">
        <v>60</v>
      </c>
      <c r="H75" s="352">
        <v>39</v>
      </c>
      <c r="I75" s="199">
        <v>250</v>
      </c>
      <c r="J75" s="342">
        <f t="shared" si="5"/>
        <v>2</v>
      </c>
      <c r="O75" s="83"/>
      <c r="AA75" s="83"/>
    </row>
    <row r="76" spans="1:27" ht="12" customHeight="1" x14ac:dyDescent="0.25">
      <c r="A76" s="382"/>
      <c r="B76" s="723" t="s">
        <v>128</v>
      </c>
      <c r="C76" s="722"/>
      <c r="D76" s="722"/>
      <c r="E76" s="181" t="s">
        <v>129</v>
      </c>
      <c r="F76" s="359">
        <f>60-37</f>
        <v>23</v>
      </c>
      <c r="G76" s="353">
        <v>60</v>
      </c>
      <c r="H76" s="353">
        <v>37</v>
      </c>
      <c r="I76" s="180">
        <v>250</v>
      </c>
      <c r="J76" s="344">
        <f t="shared" si="5"/>
        <v>2</v>
      </c>
      <c r="O76" s="83"/>
      <c r="AA76" s="83"/>
    </row>
    <row r="77" spans="1:27" s="83" customFormat="1" ht="12" customHeight="1" x14ac:dyDescent="0.25">
      <c r="A77" s="382"/>
      <c r="B77" s="723" t="s">
        <v>130</v>
      </c>
      <c r="C77" s="722"/>
      <c r="D77" s="722"/>
      <c r="E77" s="181" t="s">
        <v>131</v>
      </c>
      <c r="F77" s="359">
        <f>70-42</f>
        <v>28</v>
      </c>
      <c r="G77" s="353">
        <v>70</v>
      </c>
      <c r="H77" s="353">
        <v>42</v>
      </c>
      <c r="I77" s="11">
        <v>200</v>
      </c>
      <c r="J77" s="344">
        <f t="shared" si="5"/>
        <v>2</v>
      </c>
      <c r="K77" s="82"/>
      <c r="L77" s="82"/>
      <c r="M77" s="82"/>
      <c r="N77" s="82"/>
    </row>
    <row r="78" spans="1:27" s="83" customFormat="1" ht="12" customHeight="1" thickBot="1" x14ac:dyDescent="0.3">
      <c r="A78" s="384"/>
      <c r="B78" s="728" t="s">
        <v>132</v>
      </c>
      <c r="C78" s="729"/>
      <c r="D78" s="729"/>
      <c r="E78" s="686" t="s">
        <v>133</v>
      </c>
      <c r="F78" s="360">
        <f>80-50</f>
        <v>30</v>
      </c>
      <c r="G78" s="354">
        <v>80</v>
      </c>
      <c r="H78" s="354">
        <v>50</v>
      </c>
      <c r="I78" s="46">
        <v>200</v>
      </c>
      <c r="J78" s="346">
        <f t="shared" si="5"/>
        <v>2</v>
      </c>
      <c r="K78" s="82"/>
      <c r="L78" s="82"/>
      <c r="M78" s="82"/>
      <c r="N78" s="82"/>
      <c r="O78" s="93"/>
      <c r="AA78" s="93"/>
    </row>
    <row r="79" spans="1:27" s="83" customFormat="1" ht="12" customHeight="1" x14ac:dyDescent="0.25">
      <c r="A79" s="381" t="s">
        <v>125</v>
      </c>
      <c r="B79" s="730" t="s">
        <v>411</v>
      </c>
      <c r="C79" s="718"/>
      <c r="D79" s="718"/>
      <c r="E79" s="687" t="s">
        <v>412</v>
      </c>
      <c r="F79" s="365">
        <f>40-24</f>
        <v>16</v>
      </c>
      <c r="G79" s="366">
        <v>40</v>
      </c>
      <c r="H79" s="366">
        <v>24</v>
      </c>
      <c r="I79" s="368">
        <v>500</v>
      </c>
      <c r="J79" s="375">
        <f t="shared" si="5"/>
        <v>1</v>
      </c>
      <c r="K79" s="82"/>
      <c r="L79" s="82"/>
      <c r="M79" s="82"/>
      <c r="N79" s="82"/>
      <c r="O79" s="93"/>
      <c r="AA79" s="93"/>
    </row>
    <row r="80" spans="1:27" s="83" customFormat="1" ht="12" customHeight="1" x14ac:dyDescent="0.25">
      <c r="A80" s="382"/>
      <c r="B80" s="731" t="s">
        <v>415</v>
      </c>
      <c r="C80" s="720"/>
      <c r="D80" s="720"/>
      <c r="E80" s="181" t="s">
        <v>413</v>
      </c>
      <c r="F80" s="359">
        <f>45-29</f>
        <v>16</v>
      </c>
      <c r="G80" s="99">
        <v>45</v>
      </c>
      <c r="H80" s="99">
        <v>29</v>
      </c>
      <c r="I80" s="180">
        <v>500</v>
      </c>
      <c r="J80" s="344">
        <f t="shared" si="5"/>
        <v>1</v>
      </c>
      <c r="K80" s="82"/>
      <c r="L80" s="82"/>
      <c r="M80" s="82"/>
      <c r="N80" s="82"/>
      <c r="O80" s="93"/>
      <c r="AA80" s="93"/>
    </row>
    <row r="81" spans="1:27" s="83" customFormat="1" ht="12" customHeight="1" x14ac:dyDescent="0.25">
      <c r="A81" s="382"/>
      <c r="B81" s="732" t="s">
        <v>416</v>
      </c>
      <c r="C81" s="733"/>
      <c r="D81" s="733"/>
      <c r="E81" s="181" t="s">
        <v>414</v>
      </c>
      <c r="F81" s="359">
        <f>50-34</f>
        <v>16</v>
      </c>
      <c r="G81" s="99">
        <v>50</v>
      </c>
      <c r="H81" s="99">
        <v>34</v>
      </c>
      <c r="I81" s="180">
        <v>500</v>
      </c>
      <c r="J81" s="344">
        <f t="shared" si="5"/>
        <v>1</v>
      </c>
      <c r="K81" s="82"/>
      <c r="L81" s="82"/>
      <c r="M81" s="82"/>
      <c r="N81" s="82"/>
      <c r="O81" s="93"/>
      <c r="AA81" s="93"/>
    </row>
    <row r="82" spans="1:27" s="83" customFormat="1" ht="12" customHeight="1" x14ac:dyDescent="0.25">
      <c r="B82" s="723" t="s">
        <v>115</v>
      </c>
      <c r="C82" s="722"/>
      <c r="D82" s="722"/>
      <c r="E82" s="181" t="s">
        <v>116</v>
      </c>
      <c r="F82" s="359">
        <f>60-39</f>
        <v>21</v>
      </c>
      <c r="G82" s="353">
        <v>60</v>
      </c>
      <c r="H82" s="353">
        <v>39</v>
      </c>
      <c r="I82" s="180">
        <v>250</v>
      </c>
      <c r="J82" s="344">
        <f t="shared" si="5"/>
        <v>2</v>
      </c>
      <c r="K82" s="82"/>
      <c r="L82" s="82"/>
      <c r="M82" s="82"/>
      <c r="N82" s="82"/>
      <c r="O82" s="93"/>
      <c r="AA82" s="93"/>
    </row>
    <row r="83" spans="1:27" s="83" customFormat="1" ht="12" customHeight="1" x14ac:dyDescent="0.25">
      <c r="A83" s="383"/>
      <c r="B83" s="734" t="s">
        <v>117</v>
      </c>
      <c r="C83" s="735"/>
      <c r="D83" s="736"/>
      <c r="E83" s="181" t="s">
        <v>118</v>
      </c>
      <c r="F83" s="359">
        <f>70-39</f>
        <v>31</v>
      </c>
      <c r="G83" s="353">
        <v>70</v>
      </c>
      <c r="H83" s="353">
        <v>39</v>
      </c>
      <c r="I83" s="11">
        <v>200</v>
      </c>
      <c r="J83" s="344">
        <f t="shared" si="5"/>
        <v>2</v>
      </c>
      <c r="K83" s="82"/>
      <c r="L83" s="82"/>
      <c r="M83" s="82"/>
      <c r="N83" s="82"/>
      <c r="AA83" s="93"/>
    </row>
    <row r="84" spans="1:27" ht="12" customHeight="1" x14ac:dyDescent="0.25">
      <c r="A84" s="383"/>
      <c r="B84" s="734" t="s">
        <v>119</v>
      </c>
      <c r="C84" s="735"/>
      <c r="D84" s="736"/>
      <c r="E84" s="181" t="s">
        <v>120</v>
      </c>
      <c r="F84" s="359">
        <f>60-38</f>
        <v>22</v>
      </c>
      <c r="G84" s="353">
        <v>60</v>
      </c>
      <c r="H84" s="353">
        <v>38</v>
      </c>
      <c r="I84" s="180">
        <v>250</v>
      </c>
      <c r="J84" s="344">
        <f t="shared" si="5"/>
        <v>2</v>
      </c>
      <c r="M84" s="82"/>
      <c r="N84" s="82"/>
      <c r="O84" s="83"/>
    </row>
    <row r="85" spans="1:27" ht="12" customHeight="1" x14ac:dyDescent="0.25">
      <c r="A85" s="383"/>
      <c r="B85" s="734" t="s">
        <v>121</v>
      </c>
      <c r="C85" s="735"/>
      <c r="D85" s="736"/>
      <c r="E85" s="181" t="s">
        <v>122</v>
      </c>
      <c r="F85" s="359">
        <f>70-43</f>
        <v>27</v>
      </c>
      <c r="G85" s="353">
        <v>70</v>
      </c>
      <c r="H85" s="353">
        <v>43</v>
      </c>
      <c r="I85" s="11">
        <v>100</v>
      </c>
      <c r="J85" s="344">
        <f t="shared" si="5"/>
        <v>4</v>
      </c>
      <c r="M85" s="82"/>
      <c r="N85" s="82"/>
      <c r="O85" s="83"/>
    </row>
    <row r="86" spans="1:27" ht="12" customHeight="1" thickBot="1" x14ac:dyDescent="0.3">
      <c r="A86" s="385" t="s">
        <v>242</v>
      </c>
      <c r="B86" s="737" t="s">
        <v>123</v>
      </c>
      <c r="C86" s="738"/>
      <c r="D86" s="739"/>
      <c r="E86" s="686" t="s">
        <v>124</v>
      </c>
      <c r="F86" s="360">
        <f>80-48</f>
        <v>32</v>
      </c>
      <c r="G86" s="354">
        <v>80</v>
      </c>
      <c r="H86" s="354">
        <v>48</v>
      </c>
      <c r="I86" s="46">
        <v>100</v>
      </c>
      <c r="J86" s="346">
        <f t="shared" si="5"/>
        <v>4</v>
      </c>
      <c r="M86" s="82"/>
      <c r="N86" s="82"/>
      <c r="O86" s="83"/>
    </row>
    <row r="88" spans="1:27" ht="14.4" thickBot="1" x14ac:dyDescent="0.3"/>
    <row r="89" spans="1:27" ht="31.2" thickBot="1" x14ac:dyDescent="0.3">
      <c r="A89" s="160" t="s">
        <v>146</v>
      </c>
      <c r="B89" s="461" t="s">
        <v>2</v>
      </c>
      <c r="C89" s="461"/>
      <c r="D89" s="461"/>
      <c r="E89" s="161" t="s">
        <v>3</v>
      </c>
      <c r="F89" s="162" t="s">
        <v>290</v>
      </c>
      <c r="G89" s="162" t="s">
        <v>438</v>
      </c>
      <c r="H89" s="162" t="s">
        <v>341</v>
      </c>
      <c r="I89" s="163" t="s">
        <v>147</v>
      </c>
      <c r="K89" s="508" t="s">
        <v>393</v>
      </c>
      <c r="L89" s="509"/>
    </row>
    <row r="90" spans="1:27" ht="12" customHeight="1" x14ac:dyDescent="0.25">
      <c r="A90" s="202" t="s">
        <v>154</v>
      </c>
      <c r="B90" s="539" t="s">
        <v>152</v>
      </c>
      <c r="C90" s="540"/>
      <c r="D90" s="541"/>
      <c r="E90" s="681">
        <v>19040460</v>
      </c>
      <c r="F90" s="688">
        <v>30</v>
      </c>
      <c r="G90" s="165">
        <v>60</v>
      </c>
      <c r="H90" s="207" t="s">
        <v>349</v>
      </c>
      <c r="I90" s="208">
        <f>ROUNDUP(($L$19/H90),0)</f>
        <v>1</v>
      </c>
      <c r="J90" s="93"/>
      <c r="K90" s="388"/>
      <c r="L90" s="388"/>
    </row>
    <row r="91" spans="1:27" ht="12" customHeight="1" x14ac:dyDescent="0.25">
      <c r="A91" s="203"/>
      <c r="B91" s="542" t="s">
        <v>153</v>
      </c>
      <c r="C91" s="543"/>
      <c r="D91" s="544"/>
      <c r="E91" s="682">
        <v>19040470</v>
      </c>
      <c r="F91" s="362">
        <v>40</v>
      </c>
      <c r="G91" s="98">
        <v>70</v>
      </c>
      <c r="H91" s="11">
        <v>200</v>
      </c>
      <c r="I91" s="209">
        <f>ROUNDUP(($L$19/H91),0)</f>
        <v>1</v>
      </c>
      <c r="K91" s="388"/>
      <c r="L91" s="388"/>
    </row>
    <row r="92" spans="1:27" ht="12" customHeight="1" x14ac:dyDescent="0.25">
      <c r="A92" s="203"/>
      <c r="B92" s="542" t="s">
        <v>148</v>
      </c>
      <c r="C92" s="543"/>
      <c r="D92" s="544"/>
      <c r="E92" s="682" t="s">
        <v>149</v>
      </c>
      <c r="F92" s="362">
        <v>32</v>
      </c>
      <c r="G92" s="98">
        <v>60</v>
      </c>
      <c r="H92" s="181">
        <v>250</v>
      </c>
      <c r="I92" s="209">
        <f>ROUNDUP(($L$19/H92),0)</f>
        <v>1</v>
      </c>
    </row>
    <row r="93" spans="1:27" ht="12" customHeight="1" thickBot="1" x14ac:dyDescent="0.3">
      <c r="A93" s="204"/>
      <c r="B93" s="545" t="s">
        <v>150</v>
      </c>
      <c r="C93" s="546"/>
      <c r="D93" s="547"/>
      <c r="E93" s="683" t="s">
        <v>151</v>
      </c>
      <c r="F93" s="689">
        <v>42</v>
      </c>
      <c r="G93" s="168">
        <v>70</v>
      </c>
      <c r="H93" s="46">
        <v>200</v>
      </c>
      <c r="I93" s="210">
        <f>ROUNDUP(($L$19/H93),0)</f>
        <v>1</v>
      </c>
      <c r="K93" s="498" t="s">
        <v>388</v>
      </c>
      <c r="L93" s="499"/>
    </row>
    <row r="94" spans="1:27" ht="12" customHeight="1" x14ac:dyDescent="0.25">
      <c r="K94" s="500"/>
      <c r="L94" s="500"/>
    </row>
    <row r="95" spans="1:27" ht="12" customHeight="1" x14ac:dyDescent="0.25">
      <c r="K95" s="506" t="s">
        <v>296</v>
      </c>
      <c r="L95" s="507"/>
    </row>
  </sheetData>
  <sheetProtection algorithmName="SHA-512" hashValue="lVHptRiqdHSCWL48DrisYHaXokNZxDqCuzIBwMeUjtfK+pght+tcqc+pyTR2eLFK3RPD6yi4mQdp2m3GOtjmaQ==" saltValue="DP5NtaI446LLKBOnRaaJwA==" spinCount="100000" sheet="1" selectLockedCells="1"/>
  <mergeCells count="95">
    <mergeCell ref="K95:L95"/>
    <mergeCell ref="K89:L91"/>
    <mergeCell ref="B66:D66"/>
    <mergeCell ref="B67:D67"/>
    <mergeCell ref="B68:D68"/>
    <mergeCell ref="B69:D69"/>
    <mergeCell ref="B79:D79"/>
    <mergeCell ref="B80:D80"/>
    <mergeCell ref="B90:D90"/>
    <mergeCell ref="B91:D91"/>
    <mergeCell ref="B92:D92"/>
    <mergeCell ref="B93:D93"/>
    <mergeCell ref="B78:D78"/>
    <mergeCell ref="B82:D82"/>
    <mergeCell ref="L36:M36"/>
    <mergeCell ref="K93:L94"/>
    <mergeCell ref="L63:N64"/>
    <mergeCell ref="L38:M43"/>
    <mergeCell ref="L45:M48"/>
    <mergeCell ref="L49:M59"/>
    <mergeCell ref="L31:M34"/>
    <mergeCell ref="Q46:Y47"/>
    <mergeCell ref="Q48:Y48"/>
    <mergeCell ref="B89:D89"/>
    <mergeCell ref="Q42:Y42"/>
    <mergeCell ref="Q45:Y45"/>
    <mergeCell ref="B65:D65"/>
    <mergeCell ref="B70:D70"/>
    <mergeCell ref="B71:D71"/>
    <mergeCell ref="B72:D72"/>
    <mergeCell ref="B73:D73"/>
    <mergeCell ref="B74:D74"/>
    <mergeCell ref="B75:D75"/>
    <mergeCell ref="B76:D76"/>
    <mergeCell ref="B56:D56"/>
    <mergeCell ref="B59:D59"/>
    <mergeCell ref="B24:D24"/>
    <mergeCell ref="U34:V34"/>
    <mergeCell ref="P35:R35"/>
    <mergeCell ref="P36:Q38"/>
    <mergeCell ref="B23:D23"/>
    <mergeCell ref="B26:D26"/>
    <mergeCell ref="B27:D27"/>
    <mergeCell ref="B30:D30"/>
    <mergeCell ref="P34:R34"/>
    <mergeCell ref="S34:T34"/>
    <mergeCell ref="B31:D31"/>
    <mergeCell ref="B32:D32"/>
    <mergeCell ref="B33:D33"/>
    <mergeCell ref="B34:D34"/>
    <mergeCell ref="B35:D35"/>
    <mergeCell ref="L35:M35"/>
    <mergeCell ref="B1:C1"/>
    <mergeCell ref="F1:I1"/>
    <mergeCell ref="K1:L1"/>
    <mergeCell ref="A3:B3"/>
    <mergeCell ref="B22:D22"/>
    <mergeCell ref="D1:E1"/>
    <mergeCell ref="C3:L3"/>
    <mergeCell ref="I13:J13"/>
    <mergeCell ref="I18:J18"/>
    <mergeCell ref="I6:J6"/>
    <mergeCell ref="I19:J19"/>
    <mergeCell ref="B60:D60"/>
    <mergeCell ref="B51:D51"/>
    <mergeCell ref="B52:D52"/>
    <mergeCell ref="B53:D53"/>
    <mergeCell ref="B54:D54"/>
    <mergeCell ref="B55:D55"/>
    <mergeCell ref="B38:D38"/>
    <mergeCell ref="B39:D39"/>
    <mergeCell ref="B40:D40"/>
    <mergeCell ref="B57:D57"/>
    <mergeCell ref="B58:D58"/>
    <mergeCell ref="B61:D61"/>
    <mergeCell ref="B62:D62"/>
    <mergeCell ref="B63:D63"/>
    <mergeCell ref="B64:D64"/>
    <mergeCell ref="B77:D77"/>
    <mergeCell ref="N3:P3"/>
    <mergeCell ref="Q43:Y44"/>
    <mergeCell ref="Q49:Y50"/>
    <mergeCell ref="R7:U7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</mergeCells>
  <conditionalFormatting sqref="I90:I93">
    <cfRule type="expression" dxfId="42" priority="49">
      <formula>G90&gt;($C$20+$D$20)</formula>
    </cfRule>
    <cfRule type="expression" dxfId="41" priority="50">
      <formula>$C$20&gt;F90</formula>
    </cfRule>
  </conditionalFormatting>
  <conditionalFormatting sqref="J31:J86">
    <cfRule type="expression" dxfId="40" priority="2">
      <formula>(($B$20*2)&lt;F31)</formula>
    </cfRule>
    <cfRule type="expression" dxfId="39" priority="5">
      <formula>$B$20&gt;H31</formula>
    </cfRule>
    <cfRule type="expression" dxfId="38" priority="6">
      <formula>$B$20&gt;F31</formula>
    </cfRule>
  </conditionalFormatting>
  <hyperlinks>
    <hyperlink ref="N1" r:id="rId1" xr:uid="{2B9E9C5E-966A-4F39-9F96-F0F99B3ED8EC}"/>
  </hyperlinks>
  <pageMargins left="0.35433070866141736" right="0.35433070866141736" top="1.1023622047244095" bottom="0.47244094488188981" header="0.31496062992125984" footer="0.31496062992125984"/>
  <pageSetup paperSize="256" orientation="landscape" r:id="rId2"/>
  <headerFooter differentFirst="1" alignWithMargins="0">
    <firstHeader>&amp;R
&amp;G</firstHeader>
    <firstFooter xml:space="preserve">&amp;L&amp;"Wuerth Book,Standard"&amp;8HINWEIS: Es handelt sich hier um Planungshilfen zur Bestimmung der Schraubenmengen. Die Statik ist durch autorisierte Personen im Projektfall zu bemessen. 
&amp;D  Stülpschalung&amp;R&amp;"Wuerth Book,Standard"&amp;8 &amp;P von &amp;N </firstFooter>
  </headerFooter>
  <ignoredErrors>
    <ignoredError sqref="F31:F86" unlockedFormula="1"/>
    <ignoredError sqref="E31:E86 E92:E93 H90" numberStoredAsText="1"/>
  </ignoredErrors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2B54-1EF7-46EA-965A-FCF3E6BAF58B}">
  <sheetPr codeName="Tabelle4"/>
  <dimension ref="A1:AB110"/>
  <sheetViews>
    <sheetView showGridLines="0" zoomScale="95" zoomScaleNormal="95" workbookViewId="0">
      <selection activeCell="A23" sqref="A23"/>
    </sheetView>
  </sheetViews>
  <sheetFormatPr baseColWidth="10" defaultColWidth="10.88671875" defaultRowHeight="13.8" x14ac:dyDescent="0.25"/>
  <cols>
    <col min="1" max="1" width="19.6640625" style="82" customWidth="1"/>
    <col min="2" max="2" width="11.21875" style="20" customWidth="1"/>
    <col min="3" max="3" width="12" style="82" customWidth="1"/>
    <col min="4" max="4" width="12.5546875" style="82" customWidth="1"/>
    <col min="5" max="5" width="9.77734375" style="20" customWidth="1"/>
    <col min="6" max="6" width="10.33203125" style="82" customWidth="1"/>
    <col min="7" max="7" width="9.21875" style="82" customWidth="1"/>
    <col min="8" max="8" width="8.77734375" style="82" customWidth="1"/>
    <col min="9" max="10" width="8.21875" style="82" customWidth="1"/>
    <col min="11" max="11" width="9.33203125" style="82" customWidth="1"/>
    <col min="12" max="12" width="10.5546875" style="82" customWidth="1"/>
    <col min="13" max="13" width="14.77734375" style="82" customWidth="1"/>
    <col min="14" max="14" width="2.5546875" style="93" customWidth="1"/>
    <col min="15" max="15" width="9.109375" style="93" customWidth="1"/>
    <col min="16" max="16" width="6.21875" style="93" customWidth="1"/>
    <col min="17" max="17" width="9.88671875" style="93" customWidth="1"/>
    <col min="18" max="18" width="11" style="93" customWidth="1"/>
    <col min="19" max="19" width="7.5546875" style="93" customWidth="1"/>
    <col min="20" max="20" width="6.88671875" style="93" customWidth="1"/>
    <col min="21" max="21" width="7.6640625" style="93" customWidth="1"/>
    <col min="22" max="22" width="6.88671875" style="93" customWidth="1"/>
    <col min="23" max="16384" width="10.88671875" style="93"/>
  </cols>
  <sheetData>
    <row r="1" spans="1:23" s="81" customFormat="1" ht="30.45" customHeight="1" x14ac:dyDescent="0.25">
      <c r="A1" s="78" t="s">
        <v>68</v>
      </c>
      <c r="B1" s="427"/>
      <c r="C1" s="428"/>
      <c r="D1" s="476" t="s">
        <v>266</v>
      </c>
      <c r="E1" s="477"/>
      <c r="F1" s="429"/>
      <c r="G1" s="429"/>
      <c r="H1" s="429"/>
      <c r="I1" s="430"/>
      <c r="J1" s="79" t="s">
        <v>69</v>
      </c>
      <c r="K1" s="429"/>
      <c r="L1" s="430"/>
      <c r="M1" s="83"/>
      <c r="O1" s="80" t="s">
        <v>114</v>
      </c>
    </row>
    <row r="2" spans="1:23" s="83" customFormat="1" ht="9.4499999999999993" customHeight="1" x14ac:dyDescent="0.25">
      <c r="A2" s="82"/>
      <c r="B2" s="20"/>
      <c r="C2" s="82"/>
      <c r="D2" s="82"/>
      <c r="E2" s="20"/>
      <c r="F2" s="82"/>
      <c r="G2" s="82"/>
      <c r="H2" s="82"/>
      <c r="I2" s="82"/>
      <c r="J2" s="82"/>
      <c r="K2" s="82"/>
      <c r="L2" s="82"/>
    </row>
    <row r="3" spans="1:23" s="81" customFormat="1" ht="18.600000000000001" customHeight="1" x14ac:dyDescent="0.3">
      <c r="A3" s="358" t="s">
        <v>0</v>
      </c>
      <c r="B3" s="582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83"/>
      <c r="O3" s="548" t="s">
        <v>75</v>
      </c>
      <c r="P3" s="549"/>
      <c r="Q3" s="549"/>
    </row>
    <row r="4" spans="1:23" s="83" customFormat="1" ht="13.5" customHeight="1" x14ac:dyDescent="0.25">
      <c r="A4" s="182" t="s">
        <v>391</v>
      </c>
      <c r="B4" s="20"/>
      <c r="C4" s="82"/>
      <c r="D4" s="82"/>
      <c r="E4" s="20"/>
      <c r="F4" s="82"/>
      <c r="G4" s="82"/>
      <c r="H4" s="82"/>
      <c r="I4" s="82"/>
      <c r="J4" s="82"/>
      <c r="K4" s="82"/>
      <c r="L4" s="82"/>
      <c r="U4" s="517" t="s">
        <v>254</v>
      </c>
      <c r="V4" s="550"/>
      <c r="W4" s="550"/>
    </row>
    <row r="5" spans="1:23" s="83" customFormat="1" ht="7.05" customHeight="1" x14ac:dyDescent="0.25">
      <c r="B5" s="20"/>
      <c r="D5" s="82"/>
      <c r="F5" s="82"/>
      <c r="G5" s="82"/>
      <c r="H5" s="82"/>
      <c r="I5" s="82"/>
      <c r="J5" s="82"/>
      <c r="K5" s="82"/>
      <c r="L5" s="82"/>
      <c r="U5" s="550"/>
      <c r="V5" s="550"/>
      <c r="W5" s="550"/>
    </row>
    <row r="6" spans="1:23" s="83" customFormat="1" ht="14.4" customHeight="1" x14ac:dyDescent="0.3">
      <c r="A6" s="82"/>
      <c r="B6" s="20"/>
      <c r="C6" s="82"/>
      <c r="D6" s="82"/>
      <c r="E6" s="20"/>
      <c r="F6" s="82"/>
      <c r="G6" s="82"/>
      <c r="H6" s="82"/>
      <c r="I6" s="510" t="s">
        <v>280</v>
      </c>
      <c r="J6" s="511"/>
      <c r="K6" s="82"/>
      <c r="L6" s="82"/>
      <c r="U6" s="550"/>
      <c r="V6" s="550"/>
      <c r="W6" s="550"/>
    </row>
    <row r="7" spans="1:23" s="83" customFormat="1" ht="66.599999999999994" customHeight="1" x14ac:dyDescent="0.25">
      <c r="A7" s="86"/>
      <c r="B7" s="77" t="s">
        <v>440</v>
      </c>
      <c r="C7" s="77" t="s">
        <v>441</v>
      </c>
      <c r="D7" s="77" t="s">
        <v>380</v>
      </c>
      <c r="E7" s="77" t="s">
        <v>381</v>
      </c>
      <c r="F7" s="77" t="s">
        <v>347</v>
      </c>
      <c r="G7" s="77" t="s">
        <v>271</v>
      </c>
      <c r="H7" s="77" t="s">
        <v>270</v>
      </c>
      <c r="I7" s="77" t="s">
        <v>269</v>
      </c>
      <c r="J7" s="77" t="s">
        <v>85</v>
      </c>
      <c r="K7" s="77" t="s">
        <v>345</v>
      </c>
      <c r="L7" s="77" t="s">
        <v>326</v>
      </c>
      <c r="W7" s="82"/>
    </row>
    <row r="8" spans="1:23" s="83" customFormat="1" ht="13.2" x14ac:dyDescent="0.25">
      <c r="A8" s="2" t="s">
        <v>70</v>
      </c>
      <c r="B8" s="26">
        <v>1</v>
      </c>
      <c r="C8" s="4">
        <v>16</v>
      </c>
      <c r="D8" s="4">
        <v>10</v>
      </c>
      <c r="E8" s="26">
        <v>2</v>
      </c>
      <c r="F8" s="4">
        <v>50</v>
      </c>
      <c r="G8" s="4">
        <v>50</v>
      </c>
      <c r="H8" s="4">
        <v>15</v>
      </c>
      <c r="I8" s="4">
        <v>1000</v>
      </c>
      <c r="J8" s="4">
        <v>240</v>
      </c>
      <c r="K8" s="5">
        <f>(ROUNDUP((((I8-(2*H8))/F8) +1+(E8-1)),0))*(ROUNDUP((J8/(D8)*B8),0))</f>
        <v>528</v>
      </c>
      <c r="L8" s="87">
        <f>IF(ROUNDUP(((J8/G8)+1),0)*ROUNDUP(((I8/F8)+1),0)&lt;1.1,"0",(ROUNDUP(((J8/G8)+1),0)*ROUNDUP(((I8/F8)+1),0)))</f>
        <v>126</v>
      </c>
      <c r="U8" s="84" t="s">
        <v>138</v>
      </c>
      <c r="V8" s="82"/>
      <c r="W8" s="82"/>
    </row>
    <row r="9" spans="1:23" s="83" customFormat="1" ht="13.2" x14ac:dyDescent="0.25">
      <c r="A9" s="2" t="s">
        <v>80</v>
      </c>
      <c r="B9" s="24">
        <v>0</v>
      </c>
      <c r="C9" s="3">
        <v>0.1</v>
      </c>
      <c r="D9" s="3">
        <v>0.1</v>
      </c>
      <c r="E9" s="24">
        <v>0</v>
      </c>
      <c r="F9" s="3">
        <v>50</v>
      </c>
      <c r="G9" s="3">
        <v>50</v>
      </c>
      <c r="H9" s="3">
        <v>0</v>
      </c>
      <c r="I9" s="3">
        <v>0</v>
      </c>
      <c r="J9" s="3">
        <v>0</v>
      </c>
      <c r="K9" s="5">
        <f>(ROUNDUP((((I9-(2*H9))/F9) +1+(E9-1)),0))*(ROUNDUP((J9/(D9)*B9),0))</f>
        <v>0</v>
      </c>
      <c r="L9" s="87" t="str">
        <f>IF(ROUNDUP(((J9/G9)+1),0)*ROUNDUP(((I9/F9)+1),0)&lt;1.1,"0",(ROUNDUP(((J9/G9)+1),0)*ROUNDUP(((I9/F9)+1),0)))</f>
        <v>0</v>
      </c>
      <c r="U9" s="82" t="s">
        <v>247</v>
      </c>
      <c r="V9" s="82"/>
      <c r="W9" s="82"/>
    </row>
    <row r="10" spans="1:23" s="83" customFormat="1" ht="13.2" x14ac:dyDescent="0.25">
      <c r="A10" s="2" t="s">
        <v>71</v>
      </c>
      <c r="B10" s="24">
        <v>0</v>
      </c>
      <c r="C10" s="3">
        <v>0.1</v>
      </c>
      <c r="D10" s="3">
        <v>0.1</v>
      </c>
      <c r="E10" s="24">
        <v>0</v>
      </c>
      <c r="F10" s="3">
        <v>50</v>
      </c>
      <c r="G10" s="3">
        <v>50</v>
      </c>
      <c r="H10" s="3">
        <v>0</v>
      </c>
      <c r="I10" s="3">
        <v>0</v>
      </c>
      <c r="J10" s="3">
        <v>0</v>
      </c>
      <c r="K10" s="5">
        <f t="shared" ref="K10:K12" si="0">(ROUNDUP((((I10-(2*H10))/F10) +1+(E10-1)),0))*(ROUNDUP((J10/(D10)*B10),0))</f>
        <v>0</v>
      </c>
      <c r="L10" s="87" t="str">
        <f>IF(ROUNDUP(((J10/G10)+1),0)*ROUNDUP(((I10/F10)+1),0)&lt;1.1,"0",(ROUNDUP(((J10/G10)+1),0)*ROUNDUP(((I10/F10)+1),0)))</f>
        <v>0</v>
      </c>
      <c r="U10" s="82" t="s">
        <v>223</v>
      </c>
      <c r="V10" s="82"/>
      <c r="W10" s="82"/>
    </row>
    <row r="11" spans="1:23" s="83" customFormat="1" ht="13.2" x14ac:dyDescent="0.25">
      <c r="A11" s="2" t="s">
        <v>81</v>
      </c>
      <c r="B11" s="24">
        <v>0</v>
      </c>
      <c r="C11" s="3">
        <v>0.1</v>
      </c>
      <c r="D11" s="3">
        <v>0.1</v>
      </c>
      <c r="E11" s="24">
        <v>0</v>
      </c>
      <c r="F11" s="3">
        <v>50</v>
      </c>
      <c r="G11" s="3">
        <v>50</v>
      </c>
      <c r="H11" s="3">
        <v>0</v>
      </c>
      <c r="I11" s="3">
        <v>0</v>
      </c>
      <c r="J11" s="3">
        <v>0</v>
      </c>
      <c r="K11" s="5">
        <f t="shared" si="0"/>
        <v>0</v>
      </c>
      <c r="L11" s="87" t="str">
        <f>IF(ROUNDUP(((J11/G11)+1),0)*ROUNDUP(((I11/F11)+1),0)&lt;1.1,"0",(ROUNDUP(((J11/G11)+1),0)*ROUNDUP(((I11/F11)+1),0)))</f>
        <v>0</v>
      </c>
      <c r="U11" s="82"/>
      <c r="V11" s="82"/>
      <c r="W11" s="82"/>
    </row>
    <row r="12" spans="1:23" s="83" customFormat="1" thickBot="1" x14ac:dyDescent="0.3">
      <c r="A12" s="2" t="s">
        <v>82</v>
      </c>
      <c r="B12" s="24">
        <v>0</v>
      </c>
      <c r="C12" s="3">
        <v>0.1</v>
      </c>
      <c r="D12" s="3">
        <v>0.1</v>
      </c>
      <c r="E12" s="24">
        <v>0</v>
      </c>
      <c r="F12" s="3">
        <v>50</v>
      </c>
      <c r="G12" s="3">
        <v>50</v>
      </c>
      <c r="H12" s="3">
        <v>0</v>
      </c>
      <c r="I12" s="271">
        <v>0</v>
      </c>
      <c r="J12" s="271">
        <v>0</v>
      </c>
      <c r="K12" s="263">
        <f t="shared" si="0"/>
        <v>0</v>
      </c>
      <c r="L12" s="265" t="str">
        <f>IF(ROUNDUP(((J12/G12)+1),0)*ROUNDUP(((I12/F12)+1),0)&lt;1.1,"0",(ROUNDUP(((J12/G12)+1),0)*ROUNDUP(((I12/F12)+1),0)))</f>
        <v>0</v>
      </c>
      <c r="U12" s="84" t="s">
        <v>141</v>
      </c>
      <c r="V12" s="82"/>
      <c r="W12" s="82"/>
    </row>
    <row r="13" spans="1:23" s="83" customFormat="1" ht="14.4" thickBot="1" x14ac:dyDescent="0.3">
      <c r="A13" s="6"/>
      <c r="B13" s="29"/>
      <c r="C13" s="7"/>
      <c r="D13" s="7"/>
      <c r="E13" s="29"/>
      <c r="F13" s="7"/>
      <c r="G13" s="7"/>
      <c r="H13" s="7"/>
      <c r="I13" s="483" t="s">
        <v>300</v>
      </c>
      <c r="J13" s="484"/>
      <c r="K13" s="270">
        <f>SUM(K8:K12)</f>
        <v>528</v>
      </c>
      <c r="L13" s="270">
        <f>SUM(L8:L12)</f>
        <v>126</v>
      </c>
      <c r="U13" s="82" t="s">
        <v>173</v>
      </c>
      <c r="V13" s="82"/>
      <c r="W13" s="82"/>
    </row>
    <row r="14" spans="1:23" s="83" customFormat="1" ht="13.2" x14ac:dyDescent="0.25">
      <c r="A14" s="2" t="s">
        <v>72</v>
      </c>
      <c r="B14" s="24">
        <v>0</v>
      </c>
      <c r="C14" s="3">
        <v>0.1</v>
      </c>
      <c r="D14" s="3">
        <v>0.1</v>
      </c>
      <c r="E14" s="24">
        <v>0</v>
      </c>
      <c r="F14" s="3">
        <v>50</v>
      </c>
      <c r="G14" s="3">
        <v>50</v>
      </c>
      <c r="H14" s="3">
        <v>0</v>
      </c>
      <c r="I14" s="272">
        <v>0</v>
      </c>
      <c r="J14" s="272">
        <v>0</v>
      </c>
      <c r="K14" s="267">
        <f>(ROUNDUP((((I14-(2*H14))/F14) +1+(E14-1)),0))*(ROUNDUP((J14/(D14)*B14),0))/2</f>
        <v>0</v>
      </c>
      <c r="L14" s="269" t="str">
        <f>IF(ROUNDUP(((J14/G14)+1),0)*ROUNDUP(((I14/F14)+1),0)/2&lt;1.1,"0",ROUNDUP(((J14/G14)+1),0)*ROUNDUP(((I14/F14)+1),0)/2)</f>
        <v>0</v>
      </c>
      <c r="U14" s="82" t="s">
        <v>172</v>
      </c>
      <c r="V14" s="82"/>
      <c r="W14" s="82"/>
    </row>
    <row r="15" spans="1:23" s="83" customFormat="1" ht="13.2" x14ac:dyDescent="0.25">
      <c r="A15" s="2" t="s">
        <v>73</v>
      </c>
      <c r="B15" s="24">
        <v>0</v>
      </c>
      <c r="C15" s="3">
        <v>0.1</v>
      </c>
      <c r="D15" s="3">
        <v>0.1</v>
      </c>
      <c r="E15" s="24">
        <v>0</v>
      </c>
      <c r="F15" s="3">
        <v>50</v>
      </c>
      <c r="G15" s="3">
        <v>50</v>
      </c>
      <c r="H15" s="3">
        <v>0</v>
      </c>
      <c r="I15" s="3">
        <v>0</v>
      </c>
      <c r="J15" s="3">
        <v>0</v>
      </c>
      <c r="K15" s="5">
        <f t="shared" ref="K15:K17" si="1">(ROUNDUP((((I15-(2*H15))/F15) +1+(E15-1)),0))*(ROUNDUP((J15/(D15)*B15),0))/2</f>
        <v>0</v>
      </c>
      <c r="L15" s="87" t="str">
        <f t="shared" ref="L15:L17" si="2">IF(ROUNDUP(((J15/G15)+1),0)*ROUNDUP(((I15/F15)+1),0)/2&lt;1.1,"0",ROUNDUP(((J15/G15)+1),0)*ROUNDUP(((I15/F15)+1),0)/2)</f>
        <v>0</v>
      </c>
      <c r="V15" s="82"/>
      <c r="W15" s="82"/>
    </row>
    <row r="16" spans="1:23" s="83" customFormat="1" ht="13.2" x14ac:dyDescent="0.25">
      <c r="A16" s="2" t="s">
        <v>74</v>
      </c>
      <c r="B16" s="24">
        <v>0</v>
      </c>
      <c r="C16" s="3">
        <v>0.1</v>
      </c>
      <c r="D16" s="3">
        <v>0.1</v>
      </c>
      <c r="E16" s="24">
        <v>0</v>
      </c>
      <c r="F16" s="3">
        <v>50</v>
      </c>
      <c r="G16" s="3">
        <v>50</v>
      </c>
      <c r="H16" s="3">
        <v>0</v>
      </c>
      <c r="I16" s="3">
        <v>0</v>
      </c>
      <c r="J16" s="3">
        <v>0</v>
      </c>
      <c r="K16" s="5">
        <f t="shared" si="1"/>
        <v>0</v>
      </c>
      <c r="L16" s="87" t="str">
        <f t="shared" si="2"/>
        <v>0</v>
      </c>
      <c r="V16" s="82"/>
      <c r="W16" s="82"/>
    </row>
    <row r="17" spans="1:26" s="83" customFormat="1" thickBot="1" x14ac:dyDescent="0.3">
      <c r="A17" s="2" t="s">
        <v>265</v>
      </c>
      <c r="B17" s="24">
        <v>0</v>
      </c>
      <c r="C17" s="3">
        <v>0.1</v>
      </c>
      <c r="D17" s="3">
        <v>0.1</v>
      </c>
      <c r="E17" s="24">
        <v>0</v>
      </c>
      <c r="F17" s="3">
        <v>50</v>
      </c>
      <c r="G17" s="3">
        <v>50</v>
      </c>
      <c r="H17" s="3">
        <v>0</v>
      </c>
      <c r="I17" s="271">
        <v>0</v>
      </c>
      <c r="J17" s="271">
        <v>0</v>
      </c>
      <c r="K17" s="263">
        <f t="shared" si="1"/>
        <v>0</v>
      </c>
      <c r="L17" s="265" t="str">
        <f t="shared" si="2"/>
        <v>0</v>
      </c>
      <c r="V17" s="82"/>
      <c r="W17" s="82"/>
    </row>
    <row r="18" spans="1:26" s="83" customFormat="1" ht="14.4" thickBot="1" x14ac:dyDescent="0.3">
      <c r="A18" s="6"/>
      <c r="B18" s="575" t="s">
        <v>292</v>
      </c>
      <c r="C18" s="218"/>
      <c r="D18" s="218"/>
      <c r="E18" s="6"/>
      <c r="F18" s="6"/>
      <c r="G18" s="6"/>
      <c r="H18" s="6"/>
      <c r="I18" s="483" t="s">
        <v>278</v>
      </c>
      <c r="J18" s="484"/>
      <c r="K18" s="270">
        <f>SUM(K14:K17)</f>
        <v>0</v>
      </c>
      <c r="L18" s="270">
        <f>SUM(L14:L17)</f>
        <v>0</v>
      </c>
    </row>
    <row r="19" spans="1:26" s="83" customFormat="1" ht="15" thickBot="1" x14ac:dyDescent="0.35">
      <c r="A19" s="88"/>
      <c r="B19" s="576"/>
      <c r="C19" s="222" t="s">
        <v>286</v>
      </c>
      <c r="D19" s="121" t="s">
        <v>285</v>
      </c>
      <c r="E19" s="32"/>
      <c r="F19" s="88"/>
      <c r="G19" s="88"/>
      <c r="H19" s="88"/>
      <c r="I19" s="551" t="s">
        <v>76</v>
      </c>
      <c r="J19" s="552"/>
      <c r="K19" s="8">
        <f>SUM(K18,K13)</f>
        <v>528</v>
      </c>
      <c r="L19" s="89">
        <f>SUM(L18,L13)</f>
        <v>126</v>
      </c>
      <c r="U19" s="82"/>
      <c r="V19" s="82"/>
    </row>
    <row r="20" spans="1:26" s="83" customFormat="1" ht="13.95" customHeight="1" x14ac:dyDescent="0.25">
      <c r="A20" s="2" t="s">
        <v>287</v>
      </c>
      <c r="B20" s="213">
        <v>16</v>
      </c>
      <c r="C20" s="9">
        <v>30</v>
      </c>
      <c r="D20" s="9">
        <v>40</v>
      </c>
      <c r="E20" s="20"/>
      <c r="F20" s="64"/>
      <c r="G20" s="86"/>
      <c r="H20" s="86"/>
      <c r="U20" s="82"/>
      <c r="V20" s="82"/>
    </row>
    <row r="21" spans="1:26" s="83" customFormat="1" ht="13.95" customHeight="1" x14ac:dyDescent="0.25">
      <c r="A21" s="82"/>
      <c r="B21" s="20"/>
      <c r="C21" s="82"/>
      <c r="D21" s="82"/>
      <c r="E21" s="20"/>
      <c r="F21" s="64"/>
      <c r="G21" s="86"/>
      <c r="H21" s="86"/>
      <c r="U21" s="82"/>
      <c r="V21" s="82"/>
    </row>
    <row r="22" spans="1:26" s="83" customFormat="1" ht="33" customHeight="1" x14ac:dyDescent="0.25">
      <c r="A22" s="220" t="s">
        <v>451</v>
      </c>
      <c r="B22" s="482" t="s">
        <v>445</v>
      </c>
      <c r="C22" s="482"/>
      <c r="D22" s="482"/>
      <c r="E22" s="694" t="s">
        <v>77</v>
      </c>
      <c r="F22" s="212" t="s">
        <v>328</v>
      </c>
      <c r="G22" s="130" t="s">
        <v>342</v>
      </c>
      <c r="H22" s="130" t="s">
        <v>443</v>
      </c>
      <c r="K22" s="82"/>
      <c r="L22" s="82"/>
    </row>
    <row r="23" spans="1:26" s="83" customFormat="1" ht="13.95" customHeight="1" x14ac:dyDescent="0.25">
      <c r="A23" s="219" t="s">
        <v>136</v>
      </c>
      <c r="B23" s="523" t="s">
        <v>408</v>
      </c>
      <c r="C23" s="690"/>
      <c r="D23" s="691"/>
      <c r="E23" s="620"/>
      <c r="F23" s="359"/>
      <c r="G23" s="183"/>
      <c r="H23" s="176"/>
      <c r="I23" s="90" t="s">
        <v>282</v>
      </c>
      <c r="J23" s="82"/>
    </row>
    <row r="24" spans="1:26" s="83" customFormat="1" ht="13.95" customHeight="1" x14ac:dyDescent="0.25">
      <c r="A24" s="91"/>
      <c r="B24" s="12"/>
      <c r="C24" s="13"/>
      <c r="D24" s="13"/>
      <c r="E24" s="14"/>
      <c r="F24" s="14"/>
      <c r="G24" s="14"/>
      <c r="H24" s="82"/>
      <c r="I24" s="82"/>
      <c r="J24" s="82"/>
    </row>
    <row r="25" spans="1:26" s="83" customFormat="1" ht="30" customHeight="1" x14ac:dyDescent="0.25">
      <c r="A25" s="750" t="s">
        <v>452</v>
      </c>
      <c r="B25" s="512" t="s">
        <v>442</v>
      </c>
      <c r="C25" s="512"/>
      <c r="D25" s="512"/>
      <c r="E25" s="692" t="s">
        <v>77</v>
      </c>
      <c r="F25" s="749" t="s">
        <v>370</v>
      </c>
      <c r="G25" s="126" t="s">
        <v>342</v>
      </c>
      <c r="H25" s="126" t="s">
        <v>444</v>
      </c>
      <c r="I25" s="82"/>
      <c r="J25" s="82"/>
    </row>
    <row r="26" spans="1:26" s="83" customFormat="1" ht="15" customHeight="1" x14ac:dyDescent="0.25">
      <c r="A26" s="219" t="s">
        <v>136</v>
      </c>
      <c r="B26" s="523" t="s">
        <v>293</v>
      </c>
      <c r="C26" s="524"/>
      <c r="D26" s="525"/>
      <c r="E26" s="620"/>
      <c r="F26" s="359"/>
      <c r="G26" s="183"/>
      <c r="H26" s="176"/>
      <c r="I26" s="90" t="s">
        <v>261</v>
      </c>
      <c r="J26" s="82"/>
    </row>
    <row r="27" spans="1:26" s="83" customFormat="1" ht="13.95" customHeight="1" x14ac:dyDescent="0.25">
      <c r="A27" s="91"/>
      <c r="B27" s="12"/>
      <c r="C27" s="13"/>
      <c r="D27" s="13"/>
      <c r="E27" s="14"/>
      <c r="F27" s="14"/>
      <c r="G27" s="14"/>
      <c r="H27" s="82"/>
      <c r="I27" s="82"/>
      <c r="J27" s="82"/>
    </row>
    <row r="28" spans="1:26" s="83" customFormat="1" ht="37.200000000000003" customHeight="1" thickBot="1" x14ac:dyDescent="0.3">
      <c r="A28" s="82"/>
      <c r="B28" s="20"/>
      <c r="C28" s="82"/>
      <c r="D28" s="82"/>
      <c r="E28" s="20"/>
      <c r="F28" s="82"/>
      <c r="G28" s="82"/>
      <c r="H28" s="82"/>
      <c r="I28" s="82"/>
      <c r="J28" s="82"/>
    </row>
    <row r="29" spans="1:26" s="83" customFormat="1" ht="33.6" customHeight="1" thickBot="1" x14ac:dyDescent="0.3">
      <c r="A29" s="186" t="s">
        <v>135</v>
      </c>
      <c r="B29" s="481" t="s">
        <v>2</v>
      </c>
      <c r="C29" s="481"/>
      <c r="D29" s="481"/>
      <c r="E29" s="187" t="s">
        <v>3</v>
      </c>
      <c r="F29" s="188" t="s">
        <v>400</v>
      </c>
      <c r="G29" s="188" t="s">
        <v>289</v>
      </c>
      <c r="H29" s="309" t="s">
        <v>385</v>
      </c>
      <c r="I29" s="188" t="s">
        <v>342</v>
      </c>
      <c r="J29" s="189" t="s">
        <v>427</v>
      </c>
    </row>
    <row r="30" spans="1:26" s="83" customFormat="1" ht="12" customHeight="1" x14ac:dyDescent="0.25">
      <c r="A30" s="225" t="s">
        <v>303</v>
      </c>
      <c r="B30" s="561" t="s">
        <v>225</v>
      </c>
      <c r="C30" s="562"/>
      <c r="D30" s="563"/>
      <c r="E30" s="619" t="s">
        <v>226</v>
      </c>
      <c r="F30" s="361">
        <v>19</v>
      </c>
      <c r="G30" s="322">
        <v>40</v>
      </c>
      <c r="H30" s="322">
        <v>18</v>
      </c>
      <c r="I30" s="321">
        <v>500</v>
      </c>
      <c r="J30" s="59">
        <f t="shared" ref="J30:J61" si="3">ROUNDUP((($K$19/I30)),0)</f>
        <v>2</v>
      </c>
      <c r="L30" s="526" t="s">
        <v>399</v>
      </c>
      <c r="M30" s="527"/>
      <c r="P30" s="221" t="s">
        <v>171</v>
      </c>
    </row>
    <row r="31" spans="1:26" s="83" customFormat="1" ht="12" customHeight="1" x14ac:dyDescent="0.25">
      <c r="A31" s="230"/>
      <c r="B31" s="560" t="s">
        <v>227</v>
      </c>
      <c r="C31" s="564"/>
      <c r="D31" s="565"/>
      <c r="E31" s="620" t="s">
        <v>228</v>
      </c>
      <c r="F31" s="359">
        <f>45-21</f>
        <v>24</v>
      </c>
      <c r="G31" s="92">
        <v>45</v>
      </c>
      <c r="H31" s="92">
        <v>18</v>
      </c>
      <c r="I31" s="176">
        <v>500</v>
      </c>
      <c r="J31" s="319">
        <f t="shared" si="3"/>
        <v>2</v>
      </c>
      <c r="L31" s="528"/>
      <c r="M31" s="528"/>
    </row>
    <row r="32" spans="1:26" s="83" customFormat="1" ht="12" customHeight="1" x14ac:dyDescent="0.25">
      <c r="A32" s="230"/>
      <c r="B32" s="560" t="s">
        <v>229</v>
      </c>
      <c r="C32" s="564"/>
      <c r="D32" s="565"/>
      <c r="E32" s="620" t="s">
        <v>230</v>
      </c>
      <c r="F32" s="359">
        <f>50-24</f>
        <v>26</v>
      </c>
      <c r="G32" s="92">
        <v>50</v>
      </c>
      <c r="H32" s="92">
        <v>21</v>
      </c>
      <c r="I32" s="176">
        <v>500</v>
      </c>
      <c r="J32" s="319">
        <f t="shared" si="3"/>
        <v>2</v>
      </c>
      <c r="L32" s="588"/>
      <c r="M32" s="588"/>
      <c r="P32" s="172" t="s">
        <v>335</v>
      </c>
      <c r="Q32" s="94"/>
      <c r="R32" s="82"/>
      <c r="S32" s="82"/>
      <c r="T32" s="82"/>
      <c r="U32" s="82"/>
      <c r="V32" s="82"/>
      <c r="W32" s="82"/>
      <c r="X32" s="82"/>
      <c r="Y32" s="82"/>
      <c r="Z32" s="82"/>
    </row>
    <row r="33" spans="1:26" s="83" customFormat="1" ht="12" customHeight="1" x14ac:dyDescent="0.25">
      <c r="A33" s="190" t="s">
        <v>245</v>
      </c>
      <c r="B33" s="560" t="s">
        <v>231</v>
      </c>
      <c r="C33" s="564"/>
      <c r="D33" s="565"/>
      <c r="E33" s="620" t="s">
        <v>232</v>
      </c>
      <c r="F33" s="359">
        <f>60-27</f>
        <v>33</v>
      </c>
      <c r="G33" s="92">
        <v>60</v>
      </c>
      <c r="H33" s="92">
        <v>24</v>
      </c>
      <c r="I33" s="176">
        <v>500</v>
      </c>
      <c r="J33" s="319">
        <f t="shared" si="3"/>
        <v>2</v>
      </c>
      <c r="L33" s="501" t="s">
        <v>296</v>
      </c>
      <c r="M33" s="502"/>
      <c r="P33" s="486" t="s">
        <v>170</v>
      </c>
      <c r="Q33" s="487"/>
      <c r="R33" s="487"/>
      <c r="S33" s="747" t="s">
        <v>155</v>
      </c>
      <c r="T33" s="748"/>
      <c r="U33" s="488" t="s">
        <v>156</v>
      </c>
      <c r="V33" s="488"/>
      <c r="W33" s="82"/>
      <c r="X33" s="82"/>
      <c r="Y33" s="82"/>
    </row>
    <row r="34" spans="1:26" s="83" customFormat="1" ht="12" customHeight="1" x14ac:dyDescent="0.25">
      <c r="A34" s="190" t="s">
        <v>244</v>
      </c>
      <c r="B34" s="560" t="s">
        <v>175</v>
      </c>
      <c r="C34" s="543"/>
      <c r="D34" s="544"/>
      <c r="E34" s="679" t="s">
        <v>176</v>
      </c>
      <c r="F34" s="10">
        <f>40-18-3.5</f>
        <v>18.5</v>
      </c>
      <c r="G34" s="92">
        <v>40</v>
      </c>
      <c r="H34" s="92">
        <v>18</v>
      </c>
      <c r="I34" s="176">
        <v>500</v>
      </c>
      <c r="J34" s="319">
        <f t="shared" si="3"/>
        <v>2</v>
      </c>
      <c r="P34" s="486" t="s">
        <v>320</v>
      </c>
      <c r="Q34" s="487"/>
      <c r="R34" s="487"/>
      <c r="S34" s="95" t="s">
        <v>157</v>
      </c>
      <c r="T34" s="95" t="s">
        <v>158</v>
      </c>
      <c r="U34" s="95" t="s">
        <v>157</v>
      </c>
      <c r="V34" s="95" t="s">
        <v>158</v>
      </c>
      <c r="W34" s="82"/>
      <c r="X34" s="82"/>
      <c r="Y34" s="82"/>
    </row>
    <row r="35" spans="1:26" s="83" customFormat="1" ht="12" customHeight="1" x14ac:dyDescent="0.25">
      <c r="A35" s="230"/>
      <c r="B35" s="560" t="s">
        <v>177</v>
      </c>
      <c r="C35" s="543"/>
      <c r="D35" s="544"/>
      <c r="E35" s="679" t="s">
        <v>178</v>
      </c>
      <c r="F35" s="10">
        <f>45-18-3.5</f>
        <v>23.5</v>
      </c>
      <c r="G35" s="92">
        <v>45</v>
      </c>
      <c r="H35" s="92">
        <v>18</v>
      </c>
      <c r="I35" s="176">
        <v>500</v>
      </c>
      <c r="J35" s="319">
        <f t="shared" si="3"/>
        <v>2</v>
      </c>
      <c r="L35" s="425" t="s">
        <v>384</v>
      </c>
      <c r="M35" s="426"/>
      <c r="P35" s="489" t="s">
        <v>386</v>
      </c>
      <c r="Q35" s="490"/>
      <c r="R35" s="63" t="s">
        <v>159</v>
      </c>
      <c r="S35" s="96">
        <v>76.49603890425729</v>
      </c>
      <c r="T35" s="96">
        <v>45.103796523736598</v>
      </c>
      <c r="U35" s="96">
        <v>60.489731371476182</v>
      </c>
      <c r="V35" s="96">
        <v>35.666115195445862</v>
      </c>
      <c r="W35" s="82"/>
      <c r="X35" s="82"/>
      <c r="Y35" s="82"/>
    </row>
    <row r="36" spans="1:26" s="83" customFormat="1" ht="12" customHeight="1" x14ac:dyDescent="0.25">
      <c r="A36" s="230"/>
      <c r="B36" s="560" t="s">
        <v>179</v>
      </c>
      <c r="C36" s="543"/>
      <c r="D36" s="544"/>
      <c r="E36" s="679" t="s">
        <v>180</v>
      </c>
      <c r="F36" s="10">
        <f>50-21-3.5</f>
        <v>25.5</v>
      </c>
      <c r="G36" s="92">
        <v>50</v>
      </c>
      <c r="H36" s="92">
        <v>21</v>
      </c>
      <c r="I36" s="176">
        <v>500</v>
      </c>
      <c r="J36" s="319">
        <f t="shared" si="3"/>
        <v>2</v>
      </c>
      <c r="L36" s="426"/>
      <c r="M36" s="426"/>
      <c r="P36" s="491"/>
      <c r="Q36" s="492"/>
      <c r="R36" s="63" t="s">
        <v>160</v>
      </c>
      <c r="S36" s="96">
        <v>65.277503317253277</v>
      </c>
      <c r="T36" s="96">
        <v>38.489093937059707</v>
      </c>
      <c r="U36" s="96">
        <v>53.401690033607139</v>
      </c>
      <c r="V36" s="96">
        <v>31.486845538683454</v>
      </c>
      <c r="W36" s="82"/>
      <c r="X36" s="82"/>
      <c r="Y36" s="82"/>
    </row>
    <row r="37" spans="1:26" s="83" customFormat="1" ht="12" customHeight="1" x14ac:dyDescent="0.25">
      <c r="A37" s="230"/>
      <c r="B37" s="560" t="s">
        <v>181</v>
      </c>
      <c r="C37" s="543"/>
      <c r="D37" s="544"/>
      <c r="E37" s="679" t="s">
        <v>182</v>
      </c>
      <c r="F37" s="10">
        <f>60-24-3.5</f>
        <v>32.5</v>
      </c>
      <c r="G37" s="92">
        <v>60</v>
      </c>
      <c r="H37" s="92">
        <v>24</v>
      </c>
      <c r="I37" s="176">
        <v>250</v>
      </c>
      <c r="J37" s="319">
        <f t="shared" si="3"/>
        <v>3</v>
      </c>
      <c r="L37" s="426"/>
      <c r="M37" s="426"/>
      <c r="P37" s="493"/>
      <c r="Q37" s="494"/>
      <c r="R37" s="63" t="s">
        <v>161</v>
      </c>
      <c r="S37" s="96">
        <v>59.446627424799878</v>
      </c>
      <c r="T37" s="96">
        <v>35.05107749103766</v>
      </c>
      <c r="U37" s="96">
        <v>49.506733716280962</v>
      </c>
      <c r="V37" s="96">
        <v>29.190291106297739</v>
      </c>
      <c r="W37" s="82"/>
      <c r="X37" s="82"/>
      <c r="Y37" s="82"/>
    </row>
    <row r="38" spans="1:26" s="83" customFormat="1" ht="12" customHeight="1" x14ac:dyDescent="0.25">
      <c r="A38" s="230"/>
      <c r="B38" s="560" t="s">
        <v>183</v>
      </c>
      <c r="C38" s="543"/>
      <c r="D38" s="544"/>
      <c r="E38" s="620" t="s">
        <v>184</v>
      </c>
      <c r="F38" s="10">
        <f>40-18-3.5</f>
        <v>18.5</v>
      </c>
      <c r="G38" s="54">
        <v>40</v>
      </c>
      <c r="H38" s="54">
        <v>18</v>
      </c>
      <c r="I38" s="11">
        <v>500</v>
      </c>
      <c r="J38" s="319">
        <f t="shared" si="3"/>
        <v>2</v>
      </c>
      <c r="L38" s="426"/>
      <c r="M38" s="426"/>
      <c r="P38" s="82"/>
      <c r="Q38" s="94"/>
      <c r="R38" s="82"/>
      <c r="S38" s="82"/>
      <c r="T38" s="82"/>
      <c r="U38" s="82"/>
      <c r="V38" s="82"/>
      <c r="W38" s="82"/>
      <c r="X38" s="82"/>
      <c r="Y38" s="82"/>
      <c r="Z38" s="82"/>
    </row>
    <row r="39" spans="1:26" s="83" customFormat="1" ht="12" customHeight="1" x14ac:dyDescent="0.25">
      <c r="A39" s="230"/>
      <c r="B39" s="560" t="s">
        <v>185</v>
      </c>
      <c r="C39" s="543"/>
      <c r="D39" s="544"/>
      <c r="E39" s="620" t="s">
        <v>186</v>
      </c>
      <c r="F39" s="10">
        <f>45-18-3.5</f>
        <v>23.5</v>
      </c>
      <c r="G39" s="54">
        <v>45</v>
      </c>
      <c r="H39" s="54">
        <v>18</v>
      </c>
      <c r="I39" s="11">
        <v>500</v>
      </c>
      <c r="J39" s="319">
        <f t="shared" si="3"/>
        <v>2</v>
      </c>
      <c r="L39" s="425" t="s">
        <v>396</v>
      </c>
      <c r="M39" s="519"/>
      <c r="P39" s="82"/>
      <c r="Q39" s="94"/>
      <c r="R39" s="82"/>
      <c r="S39" s="82"/>
      <c r="T39" s="82"/>
      <c r="U39" s="82"/>
      <c r="V39" s="82"/>
      <c r="W39" s="82"/>
      <c r="X39" s="82"/>
      <c r="Y39" s="82"/>
      <c r="Z39" s="82"/>
    </row>
    <row r="40" spans="1:26" s="83" customFormat="1" ht="12" customHeight="1" x14ac:dyDescent="0.25">
      <c r="A40" s="230"/>
      <c r="B40" s="560" t="s">
        <v>187</v>
      </c>
      <c r="C40" s="543"/>
      <c r="D40" s="544"/>
      <c r="E40" s="620" t="s">
        <v>188</v>
      </c>
      <c r="F40" s="10">
        <f>50-21-3.5</f>
        <v>25.5</v>
      </c>
      <c r="G40" s="54">
        <v>50</v>
      </c>
      <c r="H40" s="54">
        <v>21</v>
      </c>
      <c r="I40" s="11">
        <v>500</v>
      </c>
      <c r="J40" s="319">
        <f t="shared" si="3"/>
        <v>2</v>
      </c>
      <c r="L40" s="519"/>
      <c r="M40" s="519"/>
      <c r="P40" s="37" t="s">
        <v>162</v>
      </c>
      <c r="Q40" s="94"/>
      <c r="R40" s="82"/>
      <c r="S40" s="82"/>
      <c r="T40" s="82"/>
      <c r="U40" s="82"/>
      <c r="V40" s="82"/>
      <c r="W40" s="82"/>
      <c r="X40" s="82"/>
      <c r="Y40" s="82"/>
      <c r="Z40" s="82"/>
    </row>
    <row r="41" spans="1:26" s="83" customFormat="1" ht="12" customHeight="1" x14ac:dyDescent="0.25">
      <c r="A41" s="230"/>
      <c r="B41" s="559" t="s">
        <v>189</v>
      </c>
      <c r="C41" s="543"/>
      <c r="D41" s="544"/>
      <c r="E41" s="620" t="s">
        <v>190</v>
      </c>
      <c r="F41" s="10">
        <f>60-24-3.5</f>
        <v>32.5</v>
      </c>
      <c r="G41" s="54">
        <v>60</v>
      </c>
      <c r="H41" s="54">
        <v>21</v>
      </c>
      <c r="I41" s="11">
        <v>250</v>
      </c>
      <c r="J41" s="319">
        <f t="shared" si="3"/>
        <v>3</v>
      </c>
      <c r="L41" s="519"/>
      <c r="M41" s="519"/>
      <c r="P41" s="32"/>
      <c r="Q41" s="94"/>
      <c r="R41" s="82"/>
      <c r="S41" s="82"/>
      <c r="T41" s="82"/>
      <c r="U41" s="82"/>
      <c r="V41" s="82"/>
      <c r="W41" s="82"/>
      <c r="X41" s="82"/>
      <c r="Y41" s="82"/>
      <c r="Z41" s="82"/>
    </row>
    <row r="42" spans="1:26" s="83" customFormat="1" ht="12" customHeight="1" x14ac:dyDescent="0.25">
      <c r="A42" s="230"/>
      <c r="B42" s="559" t="s">
        <v>191</v>
      </c>
      <c r="C42" s="543"/>
      <c r="D42" s="544"/>
      <c r="E42" s="620" t="s">
        <v>192</v>
      </c>
      <c r="F42" s="10">
        <f>70-24-3.5</f>
        <v>42.5</v>
      </c>
      <c r="G42" s="54">
        <v>70</v>
      </c>
      <c r="H42" s="54">
        <v>24</v>
      </c>
      <c r="I42" s="11">
        <v>200</v>
      </c>
      <c r="J42" s="319">
        <f t="shared" si="3"/>
        <v>3</v>
      </c>
      <c r="L42" s="519"/>
      <c r="M42" s="519"/>
      <c r="P42" s="82" t="s">
        <v>163</v>
      </c>
      <c r="Q42" s="440" t="s">
        <v>164</v>
      </c>
      <c r="R42" s="529"/>
      <c r="S42" s="529"/>
      <c r="T42" s="529"/>
      <c r="U42" s="529"/>
      <c r="V42" s="529"/>
      <c r="W42" s="529"/>
      <c r="X42" s="32"/>
      <c r="Y42" s="82"/>
      <c r="Z42" s="82"/>
    </row>
    <row r="43" spans="1:26" s="83" customFormat="1" ht="12" customHeight="1" thickBot="1" x14ac:dyDescent="0.3">
      <c r="A43" s="231"/>
      <c r="B43" s="578" t="s">
        <v>193</v>
      </c>
      <c r="C43" s="546"/>
      <c r="D43" s="547"/>
      <c r="E43" s="621" t="s">
        <v>194</v>
      </c>
      <c r="F43" s="45">
        <f>80-24-3.5</f>
        <v>52.5</v>
      </c>
      <c r="G43" s="56">
        <v>80</v>
      </c>
      <c r="H43" s="56">
        <v>24</v>
      </c>
      <c r="I43" s="46">
        <v>200</v>
      </c>
      <c r="J43" s="320">
        <f t="shared" si="3"/>
        <v>3</v>
      </c>
      <c r="L43" s="519"/>
      <c r="M43" s="519"/>
      <c r="P43" s="97" t="s">
        <v>163</v>
      </c>
      <c r="Q43" s="440" t="s">
        <v>233</v>
      </c>
      <c r="R43" s="529"/>
      <c r="S43" s="529"/>
      <c r="T43" s="529"/>
      <c r="U43" s="529"/>
      <c r="V43" s="529"/>
      <c r="W43" s="529"/>
      <c r="X43" s="529"/>
      <c r="Y43" s="82"/>
      <c r="Z43" s="82"/>
    </row>
    <row r="44" spans="1:26" s="83" customFormat="1" ht="12" customHeight="1" x14ac:dyDescent="0.25">
      <c r="A44" s="225" t="s">
        <v>304</v>
      </c>
      <c r="B44" s="577" t="s">
        <v>40</v>
      </c>
      <c r="C44" s="540"/>
      <c r="D44" s="541"/>
      <c r="E44" s="622" t="s">
        <v>41</v>
      </c>
      <c r="F44" s="41">
        <f>40-18-3.5</f>
        <v>18.5</v>
      </c>
      <c r="G44" s="58">
        <v>40</v>
      </c>
      <c r="H44" s="310">
        <v>18</v>
      </c>
      <c r="I44" s="42">
        <v>500</v>
      </c>
      <c r="J44" s="59">
        <f t="shared" si="3"/>
        <v>2</v>
      </c>
      <c r="L44" s="519"/>
      <c r="M44" s="519"/>
      <c r="Q44" s="529"/>
      <c r="R44" s="529"/>
      <c r="S44" s="529"/>
      <c r="T44" s="529"/>
      <c r="U44" s="529"/>
      <c r="V44" s="529"/>
      <c r="W44" s="529"/>
      <c r="X44" s="529"/>
      <c r="Y44" s="82"/>
      <c r="Z44" s="82"/>
    </row>
    <row r="45" spans="1:26" s="83" customFormat="1" ht="12" customHeight="1" x14ac:dyDescent="0.25">
      <c r="A45" s="230"/>
      <c r="B45" s="553" t="s">
        <v>42</v>
      </c>
      <c r="C45" s="543"/>
      <c r="D45" s="544"/>
      <c r="E45" s="623" t="s">
        <v>43</v>
      </c>
      <c r="F45" s="10">
        <f>45-18-3.5</f>
        <v>23.5</v>
      </c>
      <c r="G45" s="54">
        <v>45</v>
      </c>
      <c r="H45" s="311">
        <v>18</v>
      </c>
      <c r="I45" s="11">
        <v>500</v>
      </c>
      <c r="J45" s="319">
        <f t="shared" si="3"/>
        <v>2</v>
      </c>
      <c r="L45" s="519"/>
      <c r="M45" s="519"/>
      <c r="Q45" s="529"/>
      <c r="R45" s="529"/>
      <c r="S45" s="529"/>
      <c r="T45" s="529"/>
      <c r="U45" s="529"/>
      <c r="V45" s="529"/>
      <c r="W45" s="529"/>
      <c r="X45" s="529"/>
      <c r="Y45" s="82"/>
      <c r="Z45" s="82"/>
    </row>
    <row r="46" spans="1:26" s="83" customFormat="1" ht="12" customHeight="1" x14ac:dyDescent="0.3">
      <c r="A46" s="230"/>
      <c r="B46" s="553" t="s">
        <v>44</v>
      </c>
      <c r="C46" s="543"/>
      <c r="D46" s="544"/>
      <c r="E46" s="623" t="s">
        <v>45</v>
      </c>
      <c r="F46" s="10">
        <f>50-21-3.5</f>
        <v>25.5</v>
      </c>
      <c r="G46" s="54">
        <v>50</v>
      </c>
      <c r="H46" s="311">
        <v>21</v>
      </c>
      <c r="I46" s="11">
        <v>500</v>
      </c>
      <c r="J46" s="319">
        <f t="shared" si="3"/>
        <v>2</v>
      </c>
      <c r="L46" s="1"/>
      <c r="M46" s="1"/>
      <c r="P46" s="82" t="s">
        <v>163</v>
      </c>
      <c r="Q46" s="440" t="s">
        <v>166</v>
      </c>
      <c r="R46" s="529"/>
      <c r="S46" s="529"/>
      <c r="T46" s="529"/>
      <c r="U46" s="529"/>
      <c r="V46" s="529"/>
      <c r="W46" s="529"/>
      <c r="X46" s="529"/>
      <c r="Y46" s="82"/>
      <c r="Z46" s="82"/>
    </row>
    <row r="47" spans="1:26" s="83" customFormat="1" ht="12" customHeight="1" x14ac:dyDescent="0.25">
      <c r="A47" s="190" t="s">
        <v>23</v>
      </c>
      <c r="B47" s="553" t="s">
        <v>46</v>
      </c>
      <c r="C47" s="543"/>
      <c r="D47" s="544"/>
      <c r="E47" s="623" t="s">
        <v>47</v>
      </c>
      <c r="F47" s="10">
        <f>60-24-3.5</f>
        <v>32.5</v>
      </c>
      <c r="G47" s="54">
        <v>60</v>
      </c>
      <c r="H47" s="311">
        <v>24</v>
      </c>
      <c r="I47" s="11">
        <v>250</v>
      </c>
      <c r="J47" s="319">
        <f t="shared" si="3"/>
        <v>3</v>
      </c>
      <c r="L47" s="584" t="s">
        <v>401</v>
      </c>
      <c r="M47" s="584"/>
      <c r="P47" s="97" t="s">
        <v>163</v>
      </c>
      <c r="Q47" s="440" t="s">
        <v>167</v>
      </c>
      <c r="R47" s="440"/>
      <c r="S47" s="440"/>
      <c r="T47" s="440"/>
      <c r="U47" s="440"/>
      <c r="V47" s="440"/>
      <c r="W47" s="440"/>
      <c r="X47" s="440"/>
      <c r="Y47" s="82"/>
      <c r="Z47" s="82"/>
    </row>
    <row r="48" spans="1:26" s="83" customFormat="1" ht="12" customHeight="1" x14ac:dyDescent="0.3">
      <c r="A48" s="230"/>
      <c r="B48" s="553" t="s">
        <v>48</v>
      </c>
      <c r="C48" s="543"/>
      <c r="D48" s="544"/>
      <c r="E48" s="623" t="s">
        <v>49</v>
      </c>
      <c r="F48" s="10">
        <f>70-24-3.5</f>
        <v>42.5</v>
      </c>
      <c r="G48" s="54">
        <v>70</v>
      </c>
      <c r="H48" s="311">
        <v>24</v>
      </c>
      <c r="I48" s="11">
        <v>200</v>
      </c>
      <c r="J48" s="319">
        <f t="shared" si="3"/>
        <v>3</v>
      </c>
      <c r="L48" s="1"/>
      <c r="M48" s="1"/>
      <c r="Q48" s="440"/>
      <c r="R48" s="440"/>
      <c r="S48" s="440"/>
      <c r="T48" s="440"/>
      <c r="U48" s="440"/>
      <c r="V48" s="440"/>
      <c r="W48" s="440"/>
      <c r="X48" s="440"/>
      <c r="Y48" s="82"/>
      <c r="Z48" s="82"/>
    </row>
    <row r="49" spans="1:26" s="83" customFormat="1" ht="12" customHeight="1" thickBot="1" x14ac:dyDescent="0.3">
      <c r="A49" s="191"/>
      <c r="B49" s="554" t="s">
        <v>50</v>
      </c>
      <c r="C49" s="546"/>
      <c r="D49" s="547"/>
      <c r="E49" s="624" t="s">
        <v>51</v>
      </c>
      <c r="F49" s="45">
        <f>80-24-3.5</f>
        <v>52.5</v>
      </c>
      <c r="G49" s="56">
        <v>80</v>
      </c>
      <c r="H49" s="312">
        <v>24</v>
      </c>
      <c r="I49" s="46">
        <v>200</v>
      </c>
      <c r="J49" s="320">
        <f t="shared" si="3"/>
        <v>3</v>
      </c>
      <c r="L49" s="84" t="s">
        <v>308</v>
      </c>
      <c r="Q49" s="529"/>
      <c r="R49" s="529"/>
      <c r="S49" s="529"/>
      <c r="T49" s="529"/>
      <c r="U49" s="529"/>
      <c r="V49" s="529"/>
      <c r="W49" s="529"/>
      <c r="X49" s="529"/>
      <c r="Y49" s="82"/>
      <c r="Z49" s="82"/>
    </row>
    <row r="50" spans="1:26" s="83" customFormat="1" ht="12" customHeight="1" x14ac:dyDescent="0.25">
      <c r="A50" s="225" t="s">
        <v>96</v>
      </c>
      <c r="B50" s="539" t="s">
        <v>87</v>
      </c>
      <c r="C50" s="540"/>
      <c r="D50" s="541"/>
      <c r="E50" s="681" t="s">
        <v>88</v>
      </c>
      <c r="F50" s="197">
        <f>50-29.5</f>
        <v>20.5</v>
      </c>
      <c r="G50" s="165">
        <v>50</v>
      </c>
      <c r="H50" s="313">
        <v>26</v>
      </c>
      <c r="I50" s="195">
        <v>500</v>
      </c>
      <c r="J50" s="59">
        <f t="shared" si="3"/>
        <v>2</v>
      </c>
      <c r="L50" s="496" t="s">
        <v>348</v>
      </c>
      <c r="M50" s="746"/>
      <c r="N50" s="19"/>
      <c r="O50" s="19"/>
      <c r="P50" s="82" t="s">
        <v>163</v>
      </c>
      <c r="Q50" s="440" t="s">
        <v>168</v>
      </c>
      <c r="R50" s="529"/>
      <c r="S50" s="529"/>
      <c r="T50" s="529"/>
      <c r="U50" s="529"/>
      <c r="V50" s="529"/>
      <c r="W50" s="529"/>
      <c r="X50" s="529"/>
      <c r="Y50" s="82"/>
      <c r="Z50" s="82"/>
    </row>
    <row r="51" spans="1:26" s="83" customFormat="1" ht="12" customHeight="1" x14ac:dyDescent="0.25">
      <c r="A51" s="230"/>
      <c r="B51" s="542" t="s">
        <v>89</v>
      </c>
      <c r="C51" s="543"/>
      <c r="D51" s="544"/>
      <c r="E51" s="682" t="s">
        <v>90</v>
      </c>
      <c r="F51" s="359">
        <f>50-28</f>
        <v>22</v>
      </c>
      <c r="G51" s="98">
        <v>50</v>
      </c>
      <c r="H51" s="314">
        <v>24</v>
      </c>
      <c r="I51" s="179">
        <v>250</v>
      </c>
      <c r="J51" s="319">
        <f t="shared" si="3"/>
        <v>3</v>
      </c>
      <c r="L51" s="746"/>
      <c r="M51" s="746"/>
      <c r="N51" s="19"/>
      <c r="O51" s="19"/>
      <c r="P51" s="82" t="s">
        <v>163</v>
      </c>
      <c r="Q51" s="440" t="s">
        <v>169</v>
      </c>
      <c r="R51" s="529"/>
      <c r="S51" s="529"/>
      <c r="T51" s="529"/>
      <c r="U51" s="529"/>
      <c r="V51" s="529"/>
      <c r="W51" s="529"/>
      <c r="X51" s="529"/>
      <c r="Y51" s="82"/>
      <c r="Z51" s="82"/>
    </row>
    <row r="52" spans="1:26" s="83" customFormat="1" ht="12" customHeight="1" x14ac:dyDescent="0.25">
      <c r="A52" s="230"/>
      <c r="B52" s="542" t="s">
        <v>91</v>
      </c>
      <c r="C52" s="543"/>
      <c r="D52" s="544"/>
      <c r="E52" s="682">
        <v>16644560</v>
      </c>
      <c r="F52" s="359">
        <f>60-33</f>
        <v>27</v>
      </c>
      <c r="G52" s="98">
        <v>60</v>
      </c>
      <c r="H52" s="314">
        <v>29</v>
      </c>
      <c r="I52" s="179">
        <v>250</v>
      </c>
      <c r="J52" s="319">
        <f t="shared" si="3"/>
        <v>3</v>
      </c>
      <c r="L52" s="82"/>
      <c r="Q52" s="529"/>
      <c r="R52" s="529"/>
      <c r="S52" s="529"/>
      <c r="T52" s="529"/>
      <c r="U52" s="529"/>
      <c r="V52" s="529"/>
      <c r="W52" s="529"/>
      <c r="X52" s="529"/>
      <c r="Y52" s="82"/>
      <c r="Z52" s="82"/>
    </row>
    <row r="53" spans="1:26" s="83" customFormat="1" ht="12" customHeight="1" x14ac:dyDescent="0.3">
      <c r="A53" s="233"/>
      <c r="B53" s="542" t="s">
        <v>92</v>
      </c>
      <c r="C53" s="543"/>
      <c r="D53" s="544"/>
      <c r="E53" s="682" t="s">
        <v>93</v>
      </c>
      <c r="F53" s="359">
        <f>70-34</f>
        <v>36</v>
      </c>
      <c r="G53" s="98">
        <v>70</v>
      </c>
      <c r="H53" s="314">
        <v>34</v>
      </c>
      <c r="I53" s="179">
        <v>200</v>
      </c>
      <c r="J53" s="319">
        <f t="shared" si="3"/>
        <v>3</v>
      </c>
      <c r="L53" s="496" t="s">
        <v>340</v>
      </c>
      <c r="M53" s="519"/>
      <c r="N53" s="1"/>
      <c r="O53" s="93"/>
      <c r="Y53" s="82"/>
      <c r="Z53" s="82"/>
    </row>
    <row r="54" spans="1:26" s="83" customFormat="1" ht="12" customHeight="1" thickBot="1" x14ac:dyDescent="0.35">
      <c r="A54" s="198" t="s">
        <v>243</v>
      </c>
      <c r="B54" s="545" t="s">
        <v>94</v>
      </c>
      <c r="C54" s="546"/>
      <c r="D54" s="547"/>
      <c r="E54" s="683" t="s">
        <v>95</v>
      </c>
      <c r="F54" s="360">
        <f>80-39</f>
        <v>41</v>
      </c>
      <c r="G54" s="168">
        <v>80</v>
      </c>
      <c r="H54" s="317">
        <v>39</v>
      </c>
      <c r="I54" s="196">
        <v>200</v>
      </c>
      <c r="J54" s="320">
        <f t="shared" si="3"/>
        <v>3</v>
      </c>
      <c r="L54" s="519"/>
      <c r="M54" s="519"/>
      <c r="N54" s="1"/>
      <c r="O54" s="93"/>
      <c r="Y54" s="82"/>
      <c r="Z54" s="82"/>
    </row>
    <row r="55" spans="1:26" s="83" customFormat="1" ht="12" customHeight="1" thickBot="1" x14ac:dyDescent="0.3">
      <c r="A55" s="234" t="s">
        <v>99</v>
      </c>
      <c r="B55" s="555" t="s">
        <v>97</v>
      </c>
      <c r="C55" s="556"/>
      <c r="D55" s="557"/>
      <c r="E55" s="680" t="s">
        <v>98</v>
      </c>
      <c r="F55" s="193">
        <f>60-30.5</f>
        <v>29.5</v>
      </c>
      <c r="G55" s="235">
        <v>60</v>
      </c>
      <c r="H55" s="316">
        <v>27</v>
      </c>
      <c r="I55" s="194">
        <v>500</v>
      </c>
      <c r="J55" s="236">
        <f t="shared" si="3"/>
        <v>2</v>
      </c>
      <c r="N55" s="292"/>
      <c r="X55" s="82"/>
      <c r="Y55" s="82"/>
      <c r="Z55" s="82"/>
    </row>
    <row r="56" spans="1:26" s="83" customFormat="1" ht="12" customHeight="1" x14ac:dyDescent="0.25">
      <c r="A56" s="225" t="s">
        <v>222</v>
      </c>
      <c r="B56" s="539" t="s">
        <v>201</v>
      </c>
      <c r="C56" s="540"/>
      <c r="D56" s="541"/>
      <c r="E56" s="681">
        <v>16634030</v>
      </c>
      <c r="F56" s="195">
        <f xml:space="preserve"> 30-15-3.5</f>
        <v>11.5</v>
      </c>
      <c r="G56" s="165">
        <v>30</v>
      </c>
      <c r="H56" s="313">
        <v>15</v>
      </c>
      <c r="I56" s="195">
        <v>500</v>
      </c>
      <c r="J56" s="59">
        <f t="shared" si="3"/>
        <v>2</v>
      </c>
      <c r="L56" s="273" t="s">
        <v>367</v>
      </c>
      <c r="N56" s="292"/>
      <c r="X56" s="82"/>
      <c r="Y56" s="82"/>
      <c r="Z56" s="82"/>
    </row>
    <row r="57" spans="1:26" s="83" customFormat="1" ht="12" customHeight="1" x14ac:dyDescent="0.25">
      <c r="A57" s="230"/>
      <c r="B57" s="542" t="s">
        <v>202</v>
      </c>
      <c r="C57" s="543"/>
      <c r="D57" s="544"/>
      <c r="E57" s="682" t="s">
        <v>203</v>
      </c>
      <c r="F57" s="179">
        <f>35-21.5</f>
        <v>13.5</v>
      </c>
      <c r="G57" s="98">
        <v>35</v>
      </c>
      <c r="H57" s="314">
        <v>18</v>
      </c>
      <c r="I57" s="179">
        <v>500</v>
      </c>
      <c r="J57" s="319">
        <f t="shared" si="3"/>
        <v>2</v>
      </c>
      <c r="N57" s="292"/>
      <c r="X57" s="82"/>
      <c r="Y57" s="82"/>
      <c r="Z57" s="82"/>
    </row>
    <row r="58" spans="1:26" s="83" customFormat="1" ht="12" customHeight="1" x14ac:dyDescent="0.25">
      <c r="A58" s="230"/>
      <c r="B58" s="542" t="s">
        <v>204</v>
      </c>
      <c r="C58" s="543"/>
      <c r="D58" s="544"/>
      <c r="E58" s="682" t="s">
        <v>205</v>
      </c>
      <c r="F58" s="179">
        <f>40-24.5</f>
        <v>15.5</v>
      </c>
      <c r="G58" s="98">
        <v>40</v>
      </c>
      <c r="H58" s="314">
        <v>21</v>
      </c>
      <c r="I58" s="179">
        <v>500</v>
      </c>
      <c r="J58" s="319">
        <f t="shared" si="3"/>
        <v>2</v>
      </c>
      <c r="L58" s="273" t="s">
        <v>368</v>
      </c>
      <c r="N58" s="292"/>
      <c r="X58" s="82"/>
      <c r="Y58" s="82"/>
      <c r="Z58" s="82"/>
    </row>
    <row r="59" spans="1:26" s="83" customFormat="1" ht="12" customHeight="1" x14ac:dyDescent="0.25">
      <c r="A59" s="230"/>
      <c r="B59" s="542" t="s">
        <v>206</v>
      </c>
      <c r="C59" s="543"/>
      <c r="D59" s="544"/>
      <c r="E59" s="682">
        <v>16634045</v>
      </c>
      <c r="F59" s="179">
        <f>45-29.5</f>
        <v>15.5</v>
      </c>
      <c r="G59" s="98">
        <v>45</v>
      </c>
      <c r="H59" s="314">
        <v>26</v>
      </c>
      <c r="I59" s="179">
        <v>500</v>
      </c>
      <c r="J59" s="319">
        <f t="shared" si="3"/>
        <v>2</v>
      </c>
      <c r="N59" s="292"/>
      <c r="X59" s="82"/>
      <c r="Y59" s="82"/>
      <c r="Z59" s="82"/>
    </row>
    <row r="60" spans="1:26" s="83" customFormat="1" ht="12" customHeight="1" x14ac:dyDescent="0.3">
      <c r="A60" s="190" t="s">
        <v>246</v>
      </c>
      <c r="B60" s="542" t="s">
        <v>208</v>
      </c>
      <c r="C60" s="543"/>
      <c r="D60" s="544"/>
      <c r="E60" s="682">
        <v>16634050</v>
      </c>
      <c r="F60" s="179">
        <f>50-29.5</f>
        <v>20.5</v>
      </c>
      <c r="G60" s="98">
        <v>50</v>
      </c>
      <c r="H60" s="314">
        <v>26</v>
      </c>
      <c r="I60" s="179">
        <v>500</v>
      </c>
      <c r="J60" s="319">
        <f t="shared" si="3"/>
        <v>2</v>
      </c>
      <c r="N60" s="1"/>
      <c r="X60" s="205"/>
      <c r="Y60" s="205"/>
      <c r="Z60" s="205"/>
    </row>
    <row r="61" spans="1:26" s="83" customFormat="1" ht="12" customHeight="1" x14ac:dyDescent="0.3">
      <c r="A61" s="230"/>
      <c r="B61" s="542" t="s">
        <v>209</v>
      </c>
      <c r="C61" s="543"/>
      <c r="D61" s="544"/>
      <c r="E61" s="682" t="s">
        <v>210</v>
      </c>
      <c r="F61" s="179">
        <f>60-34.5</f>
        <v>25.5</v>
      </c>
      <c r="G61" s="98">
        <v>60</v>
      </c>
      <c r="H61" s="314">
        <v>31</v>
      </c>
      <c r="I61" s="179">
        <v>250</v>
      </c>
      <c r="J61" s="319">
        <f t="shared" si="3"/>
        <v>3</v>
      </c>
      <c r="N61" s="1"/>
      <c r="X61" s="104"/>
      <c r="Y61" s="104"/>
      <c r="Z61" s="104"/>
    </row>
    <row r="62" spans="1:26" s="83" customFormat="1" ht="12" customHeight="1" x14ac:dyDescent="0.3">
      <c r="A62" s="230"/>
      <c r="B62" s="542" t="s">
        <v>211</v>
      </c>
      <c r="C62" s="543"/>
      <c r="D62" s="544"/>
      <c r="E62" s="682">
        <v>16634540</v>
      </c>
      <c r="F62" s="362">
        <f>40-26</f>
        <v>14</v>
      </c>
      <c r="G62" s="98">
        <v>40</v>
      </c>
      <c r="H62" s="314">
        <v>22</v>
      </c>
      <c r="I62" s="179">
        <v>500</v>
      </c>
      <c r="J62" s="319">
        <f t="shared" ref="J62:J82" si="4">ROUNDUP((($K$19/I62)),0)</f>
        <v>2</v>
      </c>
      <c r="N62" s="1"/>
      <c r="X62" s="214"/>
      <c r="Y62" s="214"/>
      <c r="Z62" s="214"/>
    </row>
    <row r="63" spans="1:26" s="83" customFormat="1" ht="12" customHeight="1" x14ac:dyDescent="0.3">
      <c r="A63" s="230"/>
      <c r="B63" s="542" t="s">
        <v>212</v>
      </c>
      <c r="C63" s="543"/>
      <c r="D63" s="544"/>
      <c r="E63" s="682" t="s">
        <v>213</v>
      </c>
      <c r="F63" s="362">
        <f>45-26</f>
        <v>19</v>
      </c>
      <c r="G63" s="98">
        <v>45</v>
      </c>
      <c r="H63" s="314">
        <v>22</v>
      </c>
      <c r="I63" s="179">
        <v>500</v>
      </c>
      <c r="J63" s="319">
        <f t="shared" si="4"/>
        <v>2</v>
      </c>
      <c r="N63" s="1"/>
      <c r="X63" s="19"/>
      <c r="Y63" s="19"/>
      <c r="Z63" s="19"/>
    </row>
    <row r="64" spans="1:26" s="83" customFormat="1" ht="12" customHeight="1" x14ac:dyDescent="0.25">
      <c r="A64" s="230"/>
      <c r="B64" s="542" t="s">
        <v>214</v>
      </c>
      <c r="C64" s="543"/>
      <c r="D64" s="544"/>
      <c r="E64" s="682" t="s">
        <v>215</v>
      </c>
      <c r="F64" s="362">
        <f>50-28</f>
        <v>22</v>
      </c>
      <c r="G64" s="98">
        <v>50</v>
      </c>
      <c r="H64" s="314">
        <v>24</v>
      </c>
      <c r="I64" s="179">
        <v>500</v>
      </c>
      <c r="J64" s="319">
        <f t="shared" si="4"/>
        <v>2</v>
      </c>
      <c r="X64" s="214"/>
      <c r="Y64" s="214"/>
      <c r="Z64" s="214"/>
    </row>
    <row r="65" spans="1:26" s="83" customFormat="1" ht="12" customHeight="1" x14ac:dyDescent="0.25">
      <c r="A65" s="230"/>
      <c r="B65" s="542" t="s">
        <v>216</v>
      </c>
      <c r="C65" s="543"/>
      <c r="D65" s="544"/>
      <c r="E65" s="682" t="s">
        <v>217</v>
      </c>
      <c r="F65" s="362">
        <f>60-33</f>
        <v>27</v>
      </c>
      <c r="G65" s="98">
        <v>60</v>
      </c>
      <c r="H65" s="314">
        <v>29</v>
      </c>
      <c r="I65" s="179">
        <v>250</v>
      </c>
      <c r="J65" s="319">
        <f t="shared" si="4"/>
        <v>3</v>
      </c>
      <c r="X65" s="214"/>
      <c r="Y65" s="214"/>
      <c r="Z65" s="214"/>
    </row>
    <row r="66" spans="1:26" s="83" customFormat="1" ht="12" customHeight="1" x14ac:dyDescent="0.25">
      <c r="A66" s="230"/>
      <c r="B66" s="542" t="s">
        <v>218</v>
      </c>
      <c r="C66" s="543"/>
      <c r="D66" s="544"/>
      <c r="E66" s="682" t="s">
        <v>219</v>
      </c>
      <c r="F66" s="362">
        <f>70-38</f>
        <v>32</v>
      </c>
      <c r="G66" s="98">
        <v>70</v>
      </c>
      <c r="H66" s="314">
        <v>34</v>
      </c>
      <c r="I66" s="179">
        <v>200</v>
      </c>
      <c r="J66" s="319">
        <f t="shared" si="4"/>
        <v>3</v>
      </c>
      <c r="X66" s="214"/>
      <c r="Y66" s="214"/>
      <c r="Z66" s="214"/>
    </row>
    <row r="67" spans="1:26" s="83" customFormat="1" ht="12" customHeight="1" thickBot="1" x14ac:dyDescent="0.3">
      <c r="A67" s="230"/>
      <c r="B67" s="579" t="s">
        <v>220</v>
      </c>
      <c r="C67" s="580"/>
      <c r="D67" s="581"/>
      <c r="E67" s="684" t="s">
        <v>221</v>
      </c>
      <c r="F67" s="364">
        <f>80-43</f>
        <v>37</v>
      </c>
      <c r="G67" s="224">
        <v>80</v>
      </c>
      <c r="H67" s="315">
        <v>39</v>
      </c>
      <c r="I67" s="223">
        <v>200</v>
      </c>
      <c r="J67" s="363">
        <f t="shared" si="4"/>
        <v>3</v>
      </c>
      <c r="X67" s="214"/>
      <c r="Y67" s="214"/>
      <c r="Z67" s="214"/>
    </row>
    <row r="68" spans="1:26" s="83" customFormat="1" ht="12" customHeight="1" x14ac:dyDescent="0.25">
      <c r="A68" s="225" t="s">
        <v>113</v>
      </c>
      <c r="B68" s="531" t="s">
        <v>409</v>
      </c>
      <c r="C68" s="532"/>
      <c r="D68" s="532"/>
      <c r="E68" s="207" t="s">
        <v>410</v>
      </c>
      <c r="F68" s="361">
        <f>40-25</f>
        <v>15</v>
      </c>
      <c r="G68" s="165">
        <v>40</v>
      </c>
      <c r="H68" s="165">
        <v>25</v>
      </c>
      <c r="I68" s="195">
        <v>500</v>
      </c>
      <c r="J68" s="59">
        <f t="shared" si="4"/>
        <v>2</v>
      </c>
      <c r="X68" s="214"/>
      <c r="Y68" s="214"/>
      <c r="Z68" s="214"/>
    </row>
    <row r="69" spans="1:26" s="83" customFormat="1" ht="12" customHeight="1" x14ac:dyDescent="0.25">
      <c r="A69" s="369"/>
      <c r="B69" s="536" t="s">
        <v>402</v>
      </c>
      <c r="C69" s="537"/>
      <c r="D69" s="537"/>
      <c r="E69" s="181" t="s">
        <v>403</v>
      </c>
      <c r="F69" s="359">
        <f>40-24</f>
        <v>16</v>
      </c>
      <c r="G69" s="98">
        <v>40</v>
      </c>
      <c r="H69" s="98">
        <v>24</v>
      </c>
      <c r="I69" s="179">
        <v>500</v>
      </c>
      <c r="J69" s="55">
        <f t="shared" si="4"/>
        <v>2</v>
      </c>
      <c r="X69" s="214"/>
      <c r="Y69" s="214"/>
      <c r="Z69" s="214"/>
    </row>
    <row r="70" spans="1:26" s="83" customFormat="1" ht="12" customHeight="1" x14ac:dyDescent="0.25">
      <c r="A70" s="230"/>
      <c r="B70" s="536" t="s">
        <v>406</v>
      </c>
      <c r="C70" s="537"/>
      <c r="D70" s="537"/>
      <c r="E70" s="181" t="s">
        <v>404</v>
      </c>
      <c r="F70" s="359">
        <f>45-29</f>
        <v>16</v>
      </c>
      <c r="G70" s="98">
        <v>45</v>
      </c>
      <c r="H70" s="98">
        <v>29</v>
      </c>
      <c r="I70" s="179">
        <v>500</v>
      </c>
      <c r="J70" s="55">
        <f t="shared" si="4"/>
        <v>2</v>
      </c>
      <c r="X70" s="214"/>
      <c r="Y70" s="214"/>
      <c r="Z70" s="214"/>
    </row>
    <row r="71" spans="1:26" s="83" customFormat="1" ht="12" customHeight="1" x14ac:dyDescent="0.25">
      <c r="A71" s="370"/>
      <c r="B71" s="536" t="s">
        <v>407</v>
      </c>
      <c r="C71" s="537"/>
      <c r="D71" s="537"/>
      <c r="E71" s="181" t="s">
        <v>405</v>
      </c>
      <c r="F71" s="359">
        <f>55-39</f>
        <v>16</v>
      </c>
      <c r="G71" s="99">
        <v>50</v>
      </c>
      <c r="H71" s="99">
        <v>34</v>
      </c>
      <c r="I71" s="180">
        <v>500</v>
      </c>
      <c r="J71" s="55">
        <f t="shared" si="4"/>
        <v>2</v>
      </c>
      <c r="X71" s="214"/>
      <c r="Y71" s="214"/>
      <c r="Z71" s="214"/>
    </row>
    <row r="72" spans="1:26" s="83" customFormat="1" ht="12" customHeight="1" x14ac:dyDescent="0.25">
      <c r="A72" s="370"/>
      <c r="B72" s="536" t="s">
        <v>101</v>
      </c>
      <c r="C72" s="537"/>
      <c r="D72" s="537"/>
      <c r="E72" s="181" t="s">
        <v>102</v>
      </c>
      <c r="F72" s="359">
        <f>55-39</f>
        <v>16</v>
      </c>
      <c r="G72" s="99">
        <v>55</v>
      </c>
      <c r="H72" s="99">
        <v>39</v>
      </c>
      <c r="I72" s="180">
        <v>250</v>
      </c>
      <c r="J72" s="55">
        <f t="shared" si="4"/>
        <v>3</v>
      </c>
      <c r="X72" s="214"/>
      <c r="Y72" s="214"/>
      <c r="Z72" s="214"/>
    </row>
    <row r="73" spans="1:26" s="83" customFormat="1" ht="12" customHeight="1" x14ac:dyDescent="0.25">
      <c r="A73" s="227"/>
      <c r="B73" s="558" t="s">
        <v>103</v>
      </c>
      <c r="C73" s="537"/>
      <c r="D73" s="537"/>
      <c r="E73" s="181" t="s">
        <v>104</v>
      </c>
      <c r="F73" s="359">
        <f>60-39</f>
        <v>21</v>
      </c>
      <c r="G73" s="99">
        <v>60</v>
      </c>
      <c r="H73" s="99">
        <v>39</v>
      </c>
      <c r="I73" s="180">
        <v>250</v>
      </c>
      <c r="J73" s="55">
        <f t="shared" si="4"/>
        <v>3</v>
      </c>
      <c r="X73" s="104"/>
      <c r="Y73" s="104"/>
      <c r="Z73" s="104"/>
    </row>
    <row r="74" spans="1:26" s="83" customFormat="1" ht="12" customHeight="1" x14ac:dyDescent="0.25">
      <c r="A74" s="227"/>
      <c r="B74" s="558" t="s">
        <v>105</v>
      </c>
      <c r="C74" s="537"/>
      <c r="D74" s="537"/>
      <c r="E74" s="181" t="s">
        <v>106</v>
      </c>
      <c r="F74" s="359">
        <f>70-39</f>
        <v>31</v>
      </c>
      <c r="G74" s="98">
        <v>70</v>
      </c>
      <c r="H74" s="98">
        <v>39</v>
      </c>
      <c r="I74" s="179">
        <v>200</v>
      </c>
      <c r="J74" s="55">
        <f t="shared" si="4"/>
        <v>3</v>
      </c>
    </row>
    <row r="75" spans="1:26" s="83" customFormat="1" ht="12" customHeight="1" x14ac:dyDescent="0.25">
      <c r="A75" s="227"/>
      <c r="B75" s="558" t="s">
        <v>107</v>
      </c>
      <c r="C75" s="537"/>
      <c r="D75" s="537"/>
      <c r="E75" s="181" t="s">
        <v>108</v>
      </c>
      <c r="F75" s="359">
        <f>60-38</f>
        <v>22</v>
      </c>
      <c r="G75" s="99">
        <v>60</v>
      </c>
      <c r="H75" s="99">
        <v>38</v>
      </c>
      <c r="I75" s="180">
        <v>250</v>
      </c>
      <c r="J75" s="55">
        <f t="shared" si="4"/>
        <v>3</v>
      </c>
    </row>
    <row r="76" spans="1:26" s="83" customFormat="1" ht="12" customHeight="1" x14ac:dyDescent="0.25">
      <c r="A76" s="227"/>
      <c r="B76" s="558" t="s">
        <v>109</v>
      </c>
      <c r="C76" s="537"/>
      <c r="D76" s="537"/>
      <c r="E76" s="181" t="s">
        <v>110</v>
      </c>
      <c r="F76" s="359">
        <f>70-43</f>
        <v>27</v>
      </c>
      <c r="G76" s="98">
        <v>70</v>
      </c>
      <c r="H76" s="98">
        <v>43</v>
      </c>
      <c r="I76" s="179">
        <v>200</v>
      </c>
      <c r="J76" s="55">
        <f t="shared" si="4"/>
        <v>3</v>
      </c>
    </row>
    <row r="77" spans="1:26" s="83" customFormat="1" ht="12" customHeight="1" thickBot="1" x14ac:dyDescent="0.3">
      <c r="A77" s="228"/>
      <c r="B77" s="570" t="s">
        <v>111</v>
      </c>
      <c r="C77" s="571"/>
      <c r="D77" s="571"/>
      <c r="E77" s="686" t="s">
        <v>112</v>
      </c>
      <c r="F77" s="360">
        <f>80-48</f>
        <v>32</v>
      </c>
      <c r="G77" s="168">
        <v>80</v>
      </c>
      <c r="H77" s="168">
        <v>48</v>
      </c>
      <c r="I77" s="196">
        <v>200</v>
      </c>
      <c r="J77" s="57">
        <f t="shared" si="4"/>
        <v>3</v>
      </c>
    </row>
    <row r="78" spans="1:26" s="83" customFormat="1" ht="12" customHeight="1" x14ac:dyDescent="0.25">
      <c r="A78" s="369" t="s">
        <v>134</v>
      </c>
      <c r="B78" s="572" t="s">
        <v>126</v>
      </c>
      <c r="C78" s="538"/>
      <c r="D78" s="538"/>
      <c r="E78" s="687" t="s">
        <v>127</v>
      </c>
      <c r="F78" s="365">
        <f>60-39</f>
        <v>21</v>
      </c>
      <c r="G78" s="366">
        <v>60</v>
      </c>
      <c r="H78" s="367">
        <v>39</v>
      </c>
      <c r="I78" s="368">
        <v>250</v>
      </c>
      <c r="J78" s="319">
        <f t="shared" si="4"/>
        <v>3</v>
      </c>
    </row>
    <row r="79" spans="1:26" s="83" customFormat="1" ht="12" customHeight="1" x14ac:dyDescent="0.25">
      <c r="A79" s="227"/>
      <c r="B79" s="558" t="s">
        <v>128</v>
      </c>
      <c r="C79" s="537"/>
      <c r="D79" s="537"/>
      <c r="E79" s="181" t="s">
        <v>129</v>
      </c>
      <c r="F79" s="359">
        <f>60-37</f>
        <v>23</v>
      </c>
      <c r="G79" s="99">
        <v>60</v>
      </c>
      <c r="H79" s="318">
        <v>37</v>
      </c>
      <c r="I79" s="180">
        <v>250</v>
      </c>
      <c r="J79" s="319">
        <f t="shared" si="4"/>
        <v>3</v>
      </c>
    </row>
    <row r="80" spans="1:26" s="83" customFormat="1" ht="12" customHeight="1" x14ac:dyDescent="0.25">
      <c r="A80" s="227"/>
      <c r="B80" s="558" t="s">
        <v>130</v>
      </c>
      <c r="C80" s="537"/>
      <c r="D80" s="537"/>
      <c r="E80" s="181" t="s">
        <v>131</v>
      </c>
      <c r="F80" s="359">
        <f>70-42</f>
        <v>28</v>
      </c>
      <c r="G80" s="98">
        <v>70</v>
      </c>
      <c r="H80" s="314">
        <v>42</v>
      </c>
      <c r="I80" s="179">
        <v>200</v>
      </c>
      <c r="J80" s="319">
        <f t="shared" si="4"/>
        <v>3</v>
      </c>
      <c r="P80" s="93"/>
      <c r="Q80" s="93"/>
    </row>
    <row r="81" spans="1:22" s="83" customFormat="1" ht="12" customHeight="1" thickBot="1" x14ac:dyDescent="0.3">
      <c r="A81" s="227"/>
      <c r="B81" s="573" t="s">
        <v>132</v>
      </c>
      <c r="C81" s="574"/>
      <c r="D81" s="574"/>
      <c r="E81" s="685" t="s">
        <v>133</v>
      </c>
      <c r="F81" s="371">
        <f>80-50</f>
        <v>30</v>
      </c>
      <c r="G81" s="224">
        <v>80</v>
      </c>
      <c r="H81" s="315">
        <v>50</v>
      </c>
      <c r="I81" s="223">
        <v>200</v>
      </c>
      <c r="J81" s="363">
        <f t="shared" si="4"/>
        <v>3</v>
      </c>
      <c r="P81" s="93"/>
      <c r="Q81" s="93"/>
    </row>
    <row r="82" spans="1:22" s="83" customFormat="1" ht="12" customHeight="1" x14ac:dyDescent="0.25">
      <c r="A82" s="225" t="s">
        <v>125</v>
      </c>
      <c r="B82" s="569" t="s">
        <v>411</v>
      </c>
      <c r="C82" s="532"/>
      <c r="D82" s="532"/>
      <c r="E82" s="207" t="s">
        <v>412</v>
      </c>
      <c r="F82" s="361">
        <f>40-24</f>
        <v>16</v>
      </c>
      <c r="G82" s="226">
        <v>40</v>
      </c>
      <c r="H82" s="226">
        <v>24</v>
      </c>
      <c r="I82" s="199">
        <v>500</v>
      </c>
      <c r="J82" s="59">
        <f t="shared" si="4"/>
        <v>2</v>
      </c>
    </row>
    <row r="83" spans="1:22" s="83" customFormat="1" ht="12" customHeight="1" x14ac:dyDescent="0.25">
      <c r="A83" s="369"/>
      <c r="B83" s="558" t="s">
        <v>415</v>
      </c>
      <c r="C83" s="537"/>
      <c r="D83" s="537"/>
      <c r="E83" s="181" t="s">
        <v>413</v>
      </c>
      <c r="F83" s="359">
        <f>45-29</f>
        <v>16</v>
      </c>
      <c r="G83" s="99">
        <v>45</v>
      </c>
      <c r="H83" s="99">
        <v>29</v>
      </c>
      <c r="I83" s="180">
        <v>500</v>
      </c>
      <c r="J83" s="55">
        <f t="shared" ref="J83:J85" si="5">ROUNDUP((($K$19/I83)),0)</f>
        <v>2</v>
      </c>
    </row>
    <row r="84" spans="1:22" s="83" customFormat="1" ht="12" customHeight="1" x14ac:dyDescent="0.25">
      <c r="A84" s="369"/>
      <c r="B84" s="215" t="s">
        <v>416</v>
      </c>
      <c r="C84" s="179"/>
      <c r="D84" s="179"/>
      <c r="E84" s="181" t="s">
        <v>414</v>
      </c>
      <c r="F84" s="359">
        <f>50-34</f>
        <v>16</v>
      </c>
      <c r="G84" s="99">
        <v>50</v>
      </c>
      <c r="H84" s="99">
        <v>34</v>
      </c>
      <c r="I84" s="180">
        <v>500</v>
      </c>
      <c r="J84" s="55">
        <f t="shared" si="5"/>
        <v>2</v>
      </c>
    </row>
    <row r="85" spans="1:22" s="83" customFormat="1" ht="12" customHeight="1" x14ac:dyDescent="0.25">
      <c r="A85" s="369"/>
      <c r="B85" s="558" t="s">
        <v>115</v>
      </c>
      <c r="C85" s="537"/>
      <c r="D85" s="537"/>
      <c r="E85" s="181" t="s">
        <v>116</v>
      </c>
      <c r="F85" s="359">
        <f t="shared" ref="F85" si="6">60-39</f>
        <v>21</v>
      </c>
      <c r="G85" s="99">
        <v>60</v>
      </c>
      <c r="H85" s="99">
        <v>39</v>
      </c>
      <c r="I85" s="180">
        <v>250</v>
      </c>
      <c r="J85" s="55">
        <f t="shared" si="5"/>
        <v>3</v>
      </c>
    </row>
    <row r="86" spans="1:22" s="83" customFormat="1" ht="12" customHeight="1" x14ac:dyDescent="0.25">
      <c r="A86" s="230"/>
      <c r="B86" s="215" t="s">
        <v>117</v>
      </c>
      <c r="C86" s="179"/>
      <c r="D86" s="372"/>
      <c r="E86" s="181" t="s">
        <v>118</v>
      </c>
      <c r="F86" s="359">
        <f>70-39</f>
        <v>31</v>
      </c>
      <c r="G86" s="98">
        <v>70</v>
      </c>
      <c r="H86" s="98">
        <v>39</v>
      </c>
      <c r="I86" s="179">
        <v>200</v>
      </c>
      <c r="J86" s="55">
        <f>ROUNDUP((($K$19/I86)),0)</f>
        <v>3</v>
      </c>
    </row>
    <row r="87" spans="1:22" s="83" customFormat="1" ht="12" customHeight="1" x14ac:dyDescent="0.25">
      <c r="A87" s="230"/>
      <c r="B87" s="215" t="s">
        <v>119</v>
      </c>
      <c r="C87" s="179"/>
      <c r="D87" s="372"/>
      <c r="E87" s="181" t="s">
        <v>120</v>
      </c>
      <c r="F87" s="359">
        <f>60-38</f>
        <v>22</v>
      </c>
      <c r="G87" s="99">
        <v>60</v>
      </c>
      <c r="H87" s="99">
        <v>38</v>
      </c>
      <c r="I87" s="180">
        <v>250</v>
      </c>
      <c r="J87" s="55">
        <f>ROUNDUP((($K$19/I87)),0)</f>
        <v>3</v>
      </c>
    </row>
    <row r="88" spans="1:22" s="83" customFormat="1" ht="12" customHeight="1" x14ac:dyDescent="0.25">
      <c r="A88" s="230"/>
      <c r="B88" s="215" t="s">
        <v>121</v>
      </c>
      <c r="C88" s="179"/>
      <c r="D88" s="372"/>
      <c r="E88" s="181" t="s">
        <v>122</v>
      </c>
      <c r="F88" s="359">
        <f>70-43</f>
        <v>27</v>
      </c>
      <c r="G88" s="98">
        <v>70</v>
      </c>
      <c r="H88" s="98">
        <v>43</v>
      </c>
      <c r="I88" s="179">
        <v>100</v>
      </c>
      <c r="J88" s="55">
        <f>ROUNDUP((($K$19/I88)),0)</f>
        <v>6</v>
      </c>
    </row>
    <row r="89" spans="1:22" s="83" customFormat="1" ht="12" customHeight="1" thickBot="1" x14ac:dyDescent="0.3">
      <c r="A89" s="201" t="s">
        <v>242</v>
      </c>
      <c r="B89" s="229" t="s">
        <v>123</v>
      </c>
      <c r="C89" s="196"/>
      <c r="D89" s="373"/>
      <c r="E89" s="686" t="s">
        <v>124</v>
      </c>
      <c r="F89" s="360">
        <f>80-48</f>
        <v>32</v>
      </c>
      <c r="G89" s="168">
        <v>80</v>
      </c>
      <c r="H89" s="168">
        <v>48</v>
      </c>
      <c r="I89" s="196">
        <v>100</v>
      </c>
      <c r="J89" s="57">
        <f>ROUNDUP((($K$19/I89)),0)</f>
        <v>6</v>
      </c>
    </row>
    <row r="90" spans="1:22" s="83" customFormat="1" ht="12" customHeight="1" x14ac:dyDescent="0.25">
      <c r="I90" s="82"/>
      <c r="J90" s="82"/>
      <c r="Q90" s="93"/>
      <c r="R90" s="93"/>
      <c r="S90" s="93"/>
      <c r="T90" s="93"/>
      <c r="U90" s="93"/>
      <c r="V90" s="93"/>
    </row>
    <row r="91" spans="1:22" s="83" customFormat="1" ht="30" customHeight="1" thickBot="1" x14ac:dyDescent="0.3">
      <c r="A91" s="88"/>
      <c r="B91" s="20"/>
      <c r="C91" s="20"/>
      <c r="D91" s="20"/>
      <c r="E91" s="216"/>
      <c r="F91" s="217"/>
      <c r="G91" s="60"/>
      <c r="H91" s="60"/>
      <c r="I91" s="93"/>
      <c r="J91" s="93"/>
      <c r="K91" s="93"/>
      <c r="L91" s="93"/>
      <c r="M91" s="93"/>
    </row>
    <row r="92" spans="1:22" s="83" customFormat="1" ht="34.799999999999997" customHeight="1" thickBot="1" x14ac:dyDescent="0.3">
      <c r="A92" s="160" t="s">
        <v>239</v>
      </c>
      <c r="B92" s="461" t="s">
        <v>2</v>
      </c>
      <c r="C92" s="461"/>
      <c r="D92" s="461"/>
      <c r="E92" s="161" t="s">
        <v>3</v>
      </c>
      <c r="F92" s="162" t="s">
        <v>328</v>
      </c>
      <c r="G92" s="162" t="s">
        <v>289</v>
      </c>
      <c r="H92" s="357" t="s">
        <v>385</v>
      </c>
      <c r="I92" s="162" t="s">
        <v>346</v>
      </c>
      <c r="J92" s="163" t="s">
        <v>147</v>
      </c>
      <c r="L92" s="508" t="s">
        <v>392</v>
      </c>
      <c r="M92" s="509"/>
      <c r="O92" s="93"/>
      <c r="P92" s="93"/>
    </row>
    <row r="93" spans="1:22" s="83" customFormat="1" ht="11.4" customHeight="1" x14ac:dyDescent="0.25">
      <c r="A93" s="243" t="s">
        <v>235</v>
      </c>
      <c r="B93" s="566" t="s">
        <v>236</v>
      </c>
      <c r="C93" s="567"/>
      <c r="D93" s="568"/>
      <c r="E93" s="740">
        <v>190403540</v>
      </c>
      <c r="F93" s="743">
        <v>17</v>
      </c>
      <c r="G93" s="58">
        <v>40</v>
      </c>
      <c r="H93" s="58">
        <v>23</v>
      </c>
      <c r="I93" s="244">
        <v>500</v>
      </c>
      <c r="J93" s="245">
        <f>ROUNDUP((($K$19/I93)),0)</f>
        <v>2</v>
      </c>
      <c r="L93" s="388"/>
      <c r="M93" s="388"/>
      <c r="O93" s="93"/>
      <c r="P93" s="93"/>
    </row>
    <row r="94" spans="1:22" s="83" customFormat="1" ht="11.4" customHeight="1" x14ac:dyDescent="0.25">
      <c r="A94" s="246"/>
      <c r="B94" s="237" t="s">
        <v>237</v>
      </c>
      <c r="C94" s="238"/>
      <c r="D94" s="239"/>
      <c r="E94" s="741" t="s">
        <v>234</v>
      </c>
      <c r="F94" s="744">
        <v>22</v>
      </c>
      <c r="G94" s="54">
        <v>45</v>
      </c>
      <c r="H94" s="54">
        <v>23</v>
      </c>
      <c r="I94" s="240">
        <v>500</v>
      </c>
      <c r="J94" s="247">
        <f>ROUNDUP((($K$19/I94)),0)</f>
        <v>2</v>
      </c>
      <c r="L94" s="388"/>
      <c r="M94" s="388"/>
      <c r="O94" s="93"/>
      <c r="P94" s="93"/>
    </row>
    <row r="95" spans="1:22" s="83" customFormat="1" ht="12" customHeight="1" thickBot="1" x14ac:dyDescent="0.3">
      <c r="A95" s="248"/>
      <c r="B95" s="249" t="s">
        <v>238</v>
      </c>
      <c r="C95" s="250"/>
      <c r="D95" s="251"/>
      <c r="E95" s="742">
        <v>190403550</v>
      </c>
      <c r="F95" s="745">
        <v>27</v>
      </c>
      <c r="G95" s="56">
        <v>50</v>
      </c>
      <c r="H95" s="56">
        <v>23</v>
      </c>
      <c r="I95" s="252">
        <v>500</v>
      </c>
      <c r="J95" s="253">
        <f>ROUNDUP((($K$19/I95)),0)</f>
        <v>2</v>
      </c>
      <c r="O95" s="93"/>
      <c r="P95" s="93"/>
    </row>
    <row r="96" spans="1:22" s="83" customFormat="1" ht="33" customHeight="1" thickBot="1" x14ac:dyDescent="0.3">
      <c r="A96" s="82"/>
      <c r="B96" s="20"/>
      <c r="C96" s="82"/>
      <c r="D96" s="82"/>
      <c r="E96" s="20"/>
      <c r="F96" s="82"/>
      <c r="G96" s="82"/>
      <c r="H96" s="82"/>
      <c r="I96" s="82"/>
      <c r="J96" s="82"/>
      <c r="O96" s="93"/>
      <c r="P96" s="93"/>
      <c r="Q96" s="93"/>
      <c r="R96" s="93"/>
      <c r="S96" s="93"/>
      <c r="T96" s="93"/>
      <c r="U96" s="93"/>
      <c r="V96" s="93"/>
    </row>
    <row r="97" spans="1:28" s="83" customFormat="1" ht="37.200000000000003" customHeight="1" thickBot="1" x14ac:dyDescent="0.3">
      <c r="A97" s="160" t="s">
        <v>297</v>
      </c>
      <c r="B97" s="461" t="s">
        <v>2</v>
      </c>
      <c r="C97" s="461"/>
      <c r="D97" s="461"/>
      <c r="E97" s="161" t="s">
        <v>3</v>
      </c>
      <c r="F97" s="162" t="s">
        <v>290</v>
      </c>
      <c r="G97" s="162" t="s">
        <v>289</v>
      </c>
      <c r="H97" s="357" t="s">
        <v>385</v>
      </c>
      <c r="I97" s="162" t="s">
        <v>346</v>
      </c>
      <c r="J97" s="163" t="s">
        <v>147</v>
      </c>
      <c r="O97" s="93"/>
      <c r="P97" s="93"/>
      <c r="Q97" s="93"/>
      <c r="R97" s="93"/>
      <c r="S97" s="93"/>
      <c r="T97" s="93"/>
      <c r="U97" s="93"/>
      <c r="V97" s="93"/>
    </row>
    <row r="98" spans="1:28" s="83" customFormat="1" ht="12" customHeight="1" x14ac:dyDescent="0.25">
      <c r="A98" s="164" t="s">
        <v>154</v>
      </c>
      <c r="B98" s="539" t="s">
        <v>152</v>
      </c>
      <c r="C98" s="540"/>
      <c r="D98" s="541"/>
      <c r="E98" s="681">
        <v>19040460</v>
      </c>
      <c r="F98" s="688">
        <v>30</v>
      </c>
      <c r="G98" s="165">
        <v>60</v>
      </c>
      <c r="H98" s="165">
        <v>30</v>
      </c>
      <c r="I98" s="207">
        <v>250</v>
      </c>
      <c r="J98" s="43">
        <f>ROUNDUP(($L$19/I98),0)</f>
        <v>1</v>
      </c>
      <c r="L98" s="585" t="s">
        <v>295</v>
      </c>
      <c r="M98" s="586"/>
      <c r="O98" s="93"/>
      <c r="P98" s="93"/>
      <c r="Q98" s="93"/>
      <c r="R98" s="93"/>
      <c r="S98" s="93"/>
      <c r="T98" s="93"/>
      <c r="U98" s="93"/>
      <c r="V98" s="93"/>
      <c r="AA98" s="93"/>
      <c r="AB98" s="93"/>
    </row>
    <row r="99" spans="1:28" s="83" customFormat="1" ht="12" customHeight="1" x14ac:dyDescent="0.25">
      <c r="A99" s="241"/>
      <c r="B99" s="542" t="s">
        <v>153</v>
      </c>
      <c r="C99" s="543"/>
      <c r="D99" s="544"/>
      <c r="E99" s="682">
        <v>19040470</v>
      </c>
      <c r="F99" s="362">
        <v>40</v>
      </c>
      <c r="G99" s="98">
        <v>70</v>
      </c>
      <c r="H99" s="98">
        <v>30</v>
      </c>
      <c r="I99" s="11">
        <v>200</v>
      </c>
      <c r="J99" s="44">
        <f>ROUNDUP(($L$19/I99),0)</f>
        <v>1</v>
      </c>
      <c r="L99" s="587"/>
      <c r="M99" s="587"/>
      <c r="O99" s="93"/>
      <c r="P99" s="93"/>
      <c r="Q99" s="93"/>
      <c r="R99" s="93"/>
      <c r="S99" s="93"/>
      <c r="T99" s="93"/>
      <c r="U99" s="93"/>
      <c r="V99" s="93"/>
      <c r="AA99" s="93"/>
      <c r="AB99" s="93"/>
    </row>
    <row r="100" spans="1:28" s="83" customFormat="1" ht="12" customHeight="1" x14ac:dyDescent="0.25">
      <c r="A100" s="241"/>
      <c r="B100" s="542" t="s">
        <v>148</v>
      </c>
      <c r="C100" s="543"/>
      <c r="D100" s="544"/>
      <c r="E100" s="682" t="s">
        <v>149</v>
      </c>
      <c r="F100" s="362">
        <v>32</v>
      </c>
      <c r="G100" s="98">
        <v>60</v>
      </c>
      <c r="H100" s="98">
        <v>28</v>
      </c>
      <c r="I100" s="181">
        <v>250</v>
      </c>
      <c r="J100" s="44">
        <f>ROUNDUP(($L$19/I100),0)</f>
        <v>1</v>
      </c>
      <c r="L100" s="506" t="s">
        <v>296</v>
      </c>
      <c r="M100" s="507"/>
      <c r="O100" s="93"/>
      <c r="P100" s="93"/>
      <c r="Q100" s="93"/>
      <c r="R100" s="93"/>
      <c r="S100" s="93"/>
      <c r="T100" s="93"/>
      <c r="U100" s="93"/>
      <c r="V100" s="93"/>
    </row>
    <row r="101" spans="1:28" s="83" customFormat="1" ht="12" customHeight="1" thickBot="1" x14ac:dyDescent="0.3">
      <c r="A101" s="242"/>
      <c r="B101" s="545" t="s">
        <v>150</v>
      </c>
      <c r="C101" s="546"/>
      <c r="D101" s="547"/>
      <c r="E101" s="683" t="s">
        <v>151</v>
      </c>
      <c r="F101" s="689">
        <v>42</v>
      </c>
      <c r="G101" s="168">
        <v>70</v>
      </c>
      <c r="H101" s="168">
        <v>28</v>
      </c>
      <c r="I101" s="46">
        <v>200</v>
      </c>
      <c r="J101" s="47">
        <f>ROUNDUP(($L$19/I101),0)</f>
        <v>1</v>
      </c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 spans="1:28" x14ac:dyDescent="0.25">
      <c r="K102" s="93"/>
      <c r="L102" s="93"/>
      <c r="M102" s="93"/>
      <c r="N102" s="83"/>
      <c r="AA102" s="83"/>
      <c r="AB102" s="83"/>
    </row>
    <row r="103" spans="1:28" x14ac:dyDescent="0.25">
      <c r="K103" s="93"/>
      <c r="L103" s="93"/>
      <c r="M103" s="93"/>
      <c r="N103" s="83"/>
      <c r="W103" s="83"/>
      <c r="X103" s="83"/>
      <c r="Y103" s="83"/>
      <c r="Z103" s="83"/>
      <c r="AA103" s="83"/>
      <c r="AB103" s="83"/>
    </row>
    <row r="104" spans="1:28" s="83" customFormat="1" ht="12" customHeight="1" x14ac:dyDescent="0.25">
      <c r="A104" s="82"/>
      <c r="B104" s="20"/>
      <c r="C104" s="82"/>
      <c r="D104" s="82"/>
      <c r="E104" s="20"/>
      <c r="F104" s="82"/>
      <c r="G104" s="82"/>
      <c r="H104" s="82"/>
      <c r="I104" s="82"/>
      <c r="J104" s="82"/>
      <c r="K104" s="82"/>
      <c r="L104" s="82"/>
      <c r="M104" s="82"/>
      <c r="O104" s="93"/>
      <c r="P104" s="93"/>
      <c r="Q104" s="93"/>
      <c r="R104" s="93"/>
      <c r="S104" s="93"/>
      <c r="T104" s="93"/>
      <c r="U104" s="93"/>
      <c r="V104" s="93"/>
      <c r="AA104" s="93"/>
      <c r="AB104" s="93"/>
    </row>
    <row r="105" spans="1:28" s="83" customFormat="1" ht="12" customHeight="1" x14ac:dyDescent="0.25">
      <c r="A105" s="82"/>
      <c r="B105" s="20"/>
      <c r="C105" s="82"/>
      <c r="D105" s="82"/>
      <c r="E105" s="20"/>
      <c r="F105" s="82"/>
      <c r="G105" s="82"/>
      <c r="H105" s="82"/>
      <c r="I105" s="82"/>
      <c r="J105" s="82"/>
      <c r="K105" s="82"/>
      <c r="L105" s="82"/>
      <c r="M105" s="82"/>
      <c r="N105" s="93"/>
      <c r="O105" s="93"/>
      <c r="P105" s="93"/>
      <c r="Q105" s="93"/>
      <c r="R105" s="93"/>
      <c r="S105" s="93"/>
      <c r="T105" s="93"/>
      <c r="U105" s="93"/>
      <c r="V105" s="93"/>
      <c r="AA105" s="93"/>
      <c r="AB105" s="93"/>
    </row>
    <row r="106" spans="1:28" s="83" customFormat="1" ht="12" customHeight="1" x14ac:dyDescent="0.25">
      <c r="A106" s="82"/>
      <c r="B106" s="20"/>
      <c r="C106" s="82"/>
      <c r="D106" s="82"/>
      <c r="E106" s="20"/>
      <c r="F106" s="82"/>
      <c r="G106" s="82"/>
      <c r="H106" s="82"/>
      <c r="I106" s="82"/>
      <c r="J106" s="82"/>
      <c r="K106" s="82"/>
      <c r="L106" s="82"/>
      <c r="M106" s="82"/>
      <c r="N106" s="93"/>
      <c r="O106" s="93"/>
      <c r="P106" s="93"/>
      <c r="Q106" s="93"/>
      <c r="R106" s="93"/>
      <c r="S106" s="93"/>
      <c r="T106" s="93"/>
      <c r="U106" s="93"/>
      <c r="V106" s="93"/>
      <c r="AA106" s="93"/>
      <c r="AB106" s="93"/>
    </row>
    <row r="107" spans="1:28" s="83" customFormat="1" ht="12" customHeight="1" x14ac:dyDescent="0.25">
      <c r="A107" s="82"/>
      <c r="B107" s="20"/>
      <c r="C107" s="82"/>
      <c r="D107" s="82"/>
      <c r="E107" s="20"/>
      <c r="F107" s="82"/>
      <c r="G107" s="82"/>
      <c r="H107" s="82"/>
      <c r="I107" s="82"/>
      <c r="J107" s="82"/>
      <c r="K107" s="82"/>
      <c r="L107" s="82"/>
      <c r="M107" s="82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</row>
    <row r="108" spans="1:28" x14ac:dyDescent="0.25">
      <c r="N108" s="83"/>
    </row>
    <row r="109" spans="1:28" x14ac:dyDescent="0.25">
      <c r="N109" s="83"/>
    </row>
    <row r="110" spans="1:28" x14ac:dyDescent="0.25">
      <c r="N110" s="83"/>
    </row>
  </sheetData>
  <sheetProtection algorithmName="SHA-512" hashValue="p1kkn0Eu2b5mmdryBKR7KsaBmiU7ufMSFS5yqlVlobn6fDC3ccjjvyqfSRQjTNCCnvJkURIF0Y0c5pZp4ZPGVg==" saltValue="wUvybwJWlsfp96USmgG8rg==" spinCount="100000" sheet="1" selectLockedCells="1"/>
  <mergeCells count="100">
    <mergeCell ref="L100:M100"/>
    <mergeCell ref="B3:L3"/>
    <mergeCell ref="L47:M47"/>
    <mergeCell ref="B71:D71"/>
    <mergeCell ref="B68:D68"/>
    <mergeCell ref="B70:D70"/>
    <mergeCell ref="B69:D69"/>
    <mergeCell ref="B83:D83"/>
    <mergeCell ref="B85:D85"/>
    <mergeCell ref="L98:M99"/>
    <mergeCell ref="I6:J6"/>
    <mergeCell ref="I13:J13"/>
    <mergeCell ref="L35:M38"/>
    <mergeCell ref="L50:M51"/>
    <mergeCell ref="L39:M45"/>
    <mergeCell ref="L30:M32"/>
    <mergeCell ref="L92:M94"/>
    <mergeCell ref="Q50:X50"/>
    <mergeCell ref="P33:R33"/>
    <mergeCell ref="U33:V33"/>
    <mergeCell ref="P34:R34"/>
    <mergeCell ref="P35:Q37"/>
    <mergeCell ref="L33:M33"/>
    <mergeCell ref="Q51:X52"/>
    <mergeCell ref="S33:T33"/>
    <mergeCell ref="B65:D65"/>
    <mergeCell ref="B66:D66"/>
    <mergeCell ref="B67:D67"/>
    <mergeCell ref="B50:D50"/>
    <mergeCell ref="B51:D51"/>
    <mergeCell ref="Q42:W42"/>
    <mergeCell ref="Q43:X45"/>
    <mergeCell ref="Q46:X46"/>
    <mergeCell ref="B61:D61"/>
    <mergeCell ref="B62:D62"/>
    <mergeCell ref="Q47:X49"/>
    <mergeCell ref="B52:D52"/>
    <mergeCell ref="B81:D81"/>
    <mergeCell ref="B18:B19"/>
    <mergeCell ref="B44:D44"/>
    <mergeCell ref="B45:D45"/>
    <mergeCell ref="B46:D46"/>
    <mergeCell ref="B47:D47"/>
    <mergeCell ref="B22:D22"/>
    <mergeCell ref="B23:D23"/>
    <mergeCell ref="B25:D25"/>
    <mergeCell ref="B26:D26"/>
    <mergeCell ref="B29:D29"/>
    <mergeCell ref="B40:D40"/>
    <mergeCell ref="B42:D42"/>
    <mergeCell ref="B43:D43"/>
    <mergeCell ref="B63:D63"/>
    <mergeCell ref="B93:D93"/>
    <mergeCell ref="B82:D82"/>
    <mergeCell ref="B56:D56"/>
    <mergeCell ref="B57:D57"/>
    <mergeCell ref="B58:D58"/>
    <mergeCell ref="B59:D59"/>
    <mergeCell ref="B60:D60"/>
    <mergeCell ref="B74:D74"/>
    <mergeCell ref="B75:D75"/>
    <mergeCell ref="B76:D76"/>
    <mergeCell ref="B77:D77"/>
    <mergeCell ref="B78:D78"/>
    <mergeCell ref="B79:D79"/>
    <mergeCell ref="B80:D80"/>
    <mergeCell ref="B92:D92"/>
    <mergeCell ref="B64:D64"/>
    <mergeCell ref="D1:E1"/>
    <mergeCell ref="B1:C1"/>
    <mergeCell ref="F1:I1"/>
    <mergeCell ref="K1:L1"/>
    <mergeCell ref="B41:D41"/>
    <mergeCell ref="B36:D36"/>
    <mergeCell ref="B37:D37"/>
    <mergeCell ref="B38:D38"/>
    <mergeCell ref="B39:D39"/>
    <mergeCell ref="B30:D30"/>
    <mergeCell ref="B31:D31"/>
    <mergeCell ref="B32:D32"/>
    <mergeCell ref="B33:D33"/>
    <mergeCell ref="B35:D35"/>
    <mergeCell ref="B34:D34"/>
    <mergeCell ref="I18:J18"/>
    <mergeCell ref="O3:Q3"/>
    <mergeCell ref="L53:M54"/>
    <mergeCell ref="U4:W6"/>
    <mergeCell ref="I19:J19"/>
    <mergeCell ref="B101:D101"/>
    <mergeCell ref="B97:D97"/>
    <mergeCell ref="B48:D48"/>
    <mergeCell ref="B49:D49"/>
    <mergeCell ref="B98:D98"/>
    <mergeCell ref="B99:D99"/>
    <mergeCell ref="B100:D100"/>
    <mergeCell ref="B53:D53"/>
    <mergeCell ref="B54:D54"/>
    <mergeCell ref="B55:D55"/>
    <mergeCell ref="B72:D72"/>
    <mergeCell ref="B73:D73"/>
  </mergeCells>
  <conditionalFormatting sqref="J98:J101">
    <cfRule type="expression" dxfId="37" priority="15">
      <formula>$C$20&gt;F98</formula>
    </cfRule>
  </conditionalFormatting>
  <conditionalFormatting sqref="J93:J95">
    <cfRule type="expression" dxfId="36" priority="39">
      <formula>G93&gt;($B$20+$C$20)</formula>
    </cfRule>
    <cfRule type="expression" dxfId="35" priority="40">
      <formula>$B$20&gt;F93</formula>
    </cfRule>
  </conditionalFormatting>
  <conditionalFormatting sqref="J98:J101">
    <cfRule type="expression" dxfId="34" priority="41">
      <formula>G98&gt;($C$20+$D$20)</formula>
    </cfRule>
  </conditionalFormatting>
  <conditionalFormatting sqref="J72:J82 J70 J30:J68 J86:J89">
    <cfRule type="expression" dxfId="33" priority="49">
      <formula>$B$20&gt;=H30</formula>
    </cfRule>
    <cfRule type="expression" dxfId="32" priority="50">
      <formula>$B$20&gt;F30</formula>
    </cfRule>
    <cfRule type="expression" dxfId="31" priority="51">
      <formula>G30&gt;($B$20+$C$20)</formula>
    </cfRule>
  </conditionalFormatting>
  <conditionalFormatting sqref="J71">
    <cfRule type="expression" dxfId="30" priority="10">
      <formula>$B$20&gt;=H71</formula>
    </cfRule>
    <cfRule type="expression" dxfId="29" priority="11">
      <formula>$B$20&gt;F71</formula>
    </cfRule>
    <cfRule type="expression" dxfId="28" priority="12">
      <formula>G71&gt;($B$20+$C$20)</formula>
    </cfRule>
  </conditionalFormatting>
  <conditionalFormatting sqref="J69">
    <cfRule type="expression" dxfId="27" priority="7">
      <formula>$B$20&gt;=H69</formula>
    </cfRule>
    <cfRule type="expression" dxfId="26" priority="8">
      <formula>$B$20&gt;F69</formula>
    </cfRule>
    <cfRule type="expression" dxfId="25" priority="9">
      <formula>G69&gt;($B$20+$C$20)</formula>
    </cfRule>
  </conditionalFormatting>
  <conditionalFormatting sqref="J83 J85">
    <cfRule type="expression" dxfId="24" priority="4">
      <formula>$B$20&gt;=H83</formula>
    </cfRule>
    <cfRule type="expression" dxfId="23" priority="5">
      <formula>$B$20&gt;F83</formula>
    </cfRule>
    <cfRule type="expression" dxfId="22" priority="6">
      <formula>G83&gt;($B$20+$C$20)</formula>
    </cfRule>
  </conditionalFormatting>
  <conditionalFormatting sqref="J84">
    <cfRule type="expression" dxfId="21" priority="1">
      <formula>$B$20&gt;=H84</formula>
    </cfRule>
    <cfRule type="expression" dxfId="20" priority="2">
      <formula>$B$20&gt;F84</formula>
    </cfRule>
    <cfRule type="expression" dxfId="19" priority="3">
      <formula>G84&gt;($B$20+$C$20)</formula>
    </cfRule>
  </conditionalFormatting>
  <hyperlinks>
    <hyperlink ref="O1" r:id="rId1" xr:uid="{162CB302-D850-4C2F-BF9D-2749DEC680EC}"/>
  </hyperlinks>
  <pageMargins left="0.25" right="0.25" top="0.75" bottom="0.75" header="0.3" footer="0.3"/>
  <pageSetup paperSize="256" orientation="landscape" r:id="rId2"/>
  <headerFooter differentFirst="1" alignWithMargins="0">
    <firstHeader>&amp;R&amp;G</firstHeader>
    <firstFooter xml:space="preserve">&amp;L&amp;"Wuerth Book,Standard"&amp;8HINWEIS: Es handelt sich hier um Planungshilfen zur Bestimmung der Schraubenmengen. Die Statik ist durch autorisierte Personen im Projektfall zu bemessen. 
&amp;D  Profil oder Keilstülpschalung&amp;R&amp;"Wuerth Book,Standard"&amp;8 &amp;P von &amp;N </firstFooter>
  </headerFooter>
  <ignoredErrors>
    <ignoredError sqref="E30:E89 E94 E100:E101" numberStoredAsText="1"/>
    <ignoredError sqref="F30:F44 J98:J101 J93:J95 F46:F89" unlockedFormula="1"/>
  </ignoredErrors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24BB2-5861-4F96-90E2-9BCF1E082511}">
  <dimension ref="A1:AE122"/>
  <sheetViews>
    <sheetView showGridLines="0" tabSelected="1" zoomScale="105" zoomScaleNormal="105" workbookViewId="0">
      <selection activeCell="B32" sqref="B32:E32"/>
    </sheetView>
  </sheetViews>
  <sheetFormatPr baseColWidth="10" defaultColWidth="10.88671875" defaultRowHeight="13.8" x14ac:dyDescent="0.25"/>
  <cols>
    <col min="1" max="1" width="18.21875" style="82" customWidth="1"/>
    <col min="2" max="2" width="6.88671875" style="82" customWidth="1"/>
    <col min="3" max="3" width="7.5546875" style="82" customWidth="1"/>
    <col min="4" max="4" width="8" style="82" customWidth="1"/>
    <col min="5" max="5" width="9.21875" style="82" customWidth="1"/>
    <col min="6" max="6" width="10.33203125" style="82" customWidth="1"/>
    <col min="7" max="7" width="10" style="82" customWidth="1"/>
    <col min="8" max="8" width="9" style="82" customWidth="1"/>
    <col min="9" max="10" width="8.33203125" style="82" customWidth="1"/>
    <col min="11" max="11" width="8.21875" style="82" customWidth="1"/>
    <col min="12" max="12" width="7.44140625" style="82" customWidth="1"/>
    <col min="13" max="13" width="7.77734375" style="82" customWidth="1"/>
    <col min="14" max="14" width="10.77734375" style="82" customWidth="1"/>
    <col min="15" max="15" width="9.77734375" style="296" customWidth="1"/>
    <col min="16" max="16" width="3.44140625" style="93" customWidth="1"/>
    <col min="17" max="18" width="6.21875" style="93" customWidth="1"/>
    <col min="19" max="19" width="12.21875" style="93" customWidth="1"/>
    <col min="20" max="20" width="9.33203125" style="93" customWidth="1"/>
    <col min="21" max="24" width="8.44140625" style="93" customWidth="1"/>
    <col min="25" max="16384" width="10.88671875" style="93"/>
  </cols>
  <sheetData>
    <row r="1" spans="1:26" s="81" customFormat="1" ht="27" customHeight="1" x14ac:dyDescent="0.3">
      <c r="A1" s="254" t="s">
        <v>68</v>
      </c>
      <c r="B1" s="592"/>
      <c r="C1" s="592"/>
      <c r="D1" s="593"/>
      <c r="E1" s="594" t="s">
        <v>240</v>
      </c>
      <c r="F1" s="594"/>
      <c r="G1" s="595"/>
      <c r="H1" s="596"/>
      <c r="I1" s="596"/>
      <c r="J1" s="596"/>
      <c r="K1" s="597"/>
      <c r="L1" s="254" t="s">
        <v>69</v>
      </c>
      <c r="M1" s="819"/>
      <c r="N1" s="820"/>
      <c r="O1" s="293"/>
      <c r="Q1" s="255" t="s">
        <v>114</v>
      </c>
      <c r="R1" s="256"/>
      <c r="S1" s="256"/>
      <c r="T1" s="256"/>
      <c r="U1" s="256"/>
      <c r="V1" s="256"/>
      <c r="W1" s="257"/>
      <c r="X1" s="257"/>
      <c r="Y1" s="257"/>
    </row>
    <row r="2" spans="1:26" s="83" customFormat="1" ht="9.4499999999999993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94"/>
    </row>
    <row r="3" spans="1:26" s="83" customFormat="1" ht="12" customHeight="1" x14ac:dyDescent="0.3">
      <c r="A3" s="259" t="s">
        <v>311</v>
      </c>
      <c r="B3" s="598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295"/>
    </row>
    <row r="4" spans="1:26" s="83" customFormat="1" ht="17.399999999999999" customHeight="1" x14ac:dyDescent="0.25">
      <c r="A4" s="260" t="s">
        <v>391</v>
      </c>
      <c r="B4" s="82"/>
      <c r="C4" s="82"/>
      <c r="D4" s="85"/>
      <c r="E4" s="82"/>
      <c r="F4" s="82"/>
      <c r="G4" s="82"/>
      <c r="H4" s="82"/>
      <c r="I4" s="82"/>
      <c r="J4" s="82"/>
      <c r="K4" s="82"/>
      <c r="L4" s="82"/>
      <c r="M4" s="82"/>
      <c r="N4" s="82"/>
      <c r="O4" s="296"/>
      <c r="Q4" s="589" t="s">
        <v>75</v>
      </c>
      <c r="R4" s="590"/>
    </row>
    <row r="5" spans="1:26" s="83" customFormat="1" ht="5.4" customHeight="1" x14ac:dyDescent="0.25">
      <c r="A5" s="91"/>
      <c r="B5" s="82"/>
      <c r="C5" s="82"/>
      <c r="D5" s="85"/>
      <c r="E5" s="82"/>
      <c r="F5" s="82"/>
      <c r="H5" s="82"/>
      <c r="I5" s="82"/>
      <c r="J5" s="82"/>
      <c r="K5" s="82"/>
      <c r="L5" s="82"/>
      <c r="M5" s="82"/>
      <c r="N5" s="82"/>
      <c r="O5" s="296"/>
    </row>
    <row r="6" spans="1:26" s="83" customFormat="1" ht="42" customHeight="1" x14ac:dyDescent="0.25">
      <c r="A6" s="82"/>
      <c r="B6" s="599" t="s">
        <v>447</v>
      </c>
      <c r="C6" s="600"/>
      <c r="D6" s="84"/>
      <c r="E6" s="84"/>
      <c r="F6" s="84"/>
      <c r="G6" s="84"/>
      <c r="H6" s="84"/>
      <c r="I6" s="84"/>
      <c r="J6" s="601" t="s">
        <v>280</v>
      </c>
      <c r="K6" s="602"/>
      <c r="L6" s="599" t="s">
        <v>345</v>
      </c>
      <c r="M6" s="600"/>
      <c r="N6" s="84"/>
      <c r="O6" s="297"/>
    </row>
    <row r="7" spans="1:26" s="83" customFormat="1" ht="66.599999999999994" customHeight="1" x14ac:dyDescent="0.25">
      <c r="A7" s="86"/>
      <c r="B7" s="77" t="s">
        <v>241</v>
      </c>
      <c r="C7" s="77" t="s">
        <v>248</v>
      </c>
      <c r="D7" s="77" t="s">
        <v>249</v>
      </c>
      <c r="E7" s="77" t="s">
        <v>283</v>
      </c>
      <c r="F7" s="77" t="s">
        <v>355</v>
      </c>
      <c r="G7" s="77" t="s">
        <v>327</v>
      </c>
      <c r="H7" s="77" t="s">
        <v>365</v>
      </c>
      <c r="I7" s="77" t="s">
        <v>250</v>
      </c>
      <c r="J7" s="77" t="s">
        <v>84</v>
      </c>
      <c r="K7" s="77" t="s">
        <v>85</v>
      </c>
      <c r="L7" s="77" t="s">
        <v>354</v>
      </c>
      <c r="M7" s="77" t="s">
        <v>366</v>
      </c>
      <c r="N7" s="77" t="s">
        <v>326</v>
      </c>
      <c r="O7" s="298"/>
      <c r="W7" s="603" t="s">
        <v>252</v>
      </c>
      <c r="X7" s="604"/>
      <c r="Y7" s="604"/>
      <c r="Z7" s="604"/>
    </row>
    <row r="8" spans="1:26" s="83" customFormat="1" ht="13.2" x14ac:dyDescent="0.25">
      <c r="A8" s="2" t="s">
        <v>70</v>
      </c>
      <c r="B8" s="4">
        <v>2</v>
      </c>
      <c r="C8" s="4">
        <v>2</v>
      </c>
      <c r="D8" s="4">
        <v>16</v>
      </c>
      <c r="E8" s="4">
        <v>16</v>
      </c>
      <c r="F8" s="4">
        <v>2</v>
      </c>
      <c r="G8" s="4">
        <v>0</v>
      </c>
      <c r="H8" s="4">
        <v>50</v>
      </c>
      <c r="I8" s="4">
        <v>50</v>
      </c>
      <c r="J8" s="4">
        <v>400</v>
      </c>
      <c r="K8" s="4">
        <v>400</v>
      </c>
      <c r="L8" s="5">
        <f>IF(((ROUNDUP((((J8/(D8+(E8-2*F8)))*B8)),0))+1)*(ROUNDUP((((K8/H8)+1)),0))+(((ROUNDUP((((J8/(D8+(E8-2*F8)))*B8)),0))+1)*G8)&lt;=1,"0",((ROUNDUP((((J8/(D8+(E8-2*F8)))*B8)),0))+1)*(ROUNDUP((((K8/H8)+1)),0))+(((ROUNDUP((((J8/(D8+(E8-2*F8)))*B8)),0))+1)*G8))</f>
        <v>270</v>
      </c>
      <c r="M8" s="258">
        <f>IF(((ROUNDDOWN((((J8/(D8+(E8-2*F8)))*C8)),0)))*(ROUNDUP((((K8/H8)+1)),0))+((ROUNDDOWN((((J8/(D8+(E8-2*F8)))*C8)),0)))*G8&lt;=1,"0",((ROUNDDOWN((((J8/(D8+(E8-2*F8)))*C8)),0)))*(ROUNDUP((((K8/H8)+1)),0))+((ROUNDDOWN((((J8/(D8+(E8-2*F8)))*C8)),0)))*G8)</f>
        <v>252</v>
      </c>
      <c r="N8" s="87">
        <f>IF(ROUNDUP(((K8/I8)+1),0)*ROUNDUP(((J8/H8)+1),0)&lt;1.1,"0",ROUNDUP(((K8/I8)+1),0)*ROUNDUP(((J8/H8)+1),0))</f>
        <v>81</v>
      </c>
      <c r="O8" s="299"/>
      <c r="W8" s="84" t="s">
        <v>260</v>
      </c>
      <c r="X8" s="82"/>
      <c r="Y8" s="82"/>
    </row>
    <row r="9" spans="1:26" s="83" customFormat="1" ht="13.2" x14ac:dyDescent="0.25">
      <c r="A9" s="2" t="s">
        <v>80</v>
      </c>
      <c r="B9" s="4">
        <v>0</v>
      </c>
      <c r="C9" s="4">
        <v>0</v>
      </c>
      <c r="D9" s="3">
        <v>0.01</v>
      </c>
      <c r="E9" s="3">
        <v>0.01</v>
      </c>
      <c r="F9" s="4">
        <v>0</v>
      </c>
      <c r="G9" s="4">
        <v>0</v>
      </c>
      <c r="H9" s="4">
        <v>50</v>
      </c>
      <c r="I9" s="4">
        <v>50</v>
      </c>
      <c r="J9" s="4">
        <v>0</v>
      </c>
      <c r="K9" s="4">
        <v>0</v>
      </c>
      <c r="L9" s="5" t="str">
        <f>IF(((ROUNDUP((((J9/(D9+(E9-2*F9)))*B9)),0))+1)*(ROUNDUP((((K9/H9)+1)),0))+(((ROUNDUP((((J9/(D9+(E9-2*F9)))*B9)),0))+1)*G9)&lt;=1,"0",((ROUNDUP((((J9/(D9+(E9-2*F9)))*B9)),0))+1)*(ROUNDUP((((K9/H9)+1)),0))+(((ROUNDUP((((J9/(D9+(E9-2*F9)))*B9)),0))+1)*G9))</f>
        <v>0</v>
      </c>
      <c r="M9" s="258" t="str">
        <f t="shared" ref="M9:M12" si="0">IF(((ROUNDDOWN((((J9/(D9+(E9-2*F9)))*C9)),0)))*(ROUNDUP((((K9/H9)+1)),0))+((ROUNDDOWN((((J9/(D9+(E9-2*F9)))*C9)),0)))*G9&lt;=1,"0",((ROUNDDOWN((((J9/(D9+(E9-2*F9)))*C9)),0)))*(ROUNDUP((((K9/H9)+1)),0))+((ROUNDDOWN((((J9/(D9+(E9-2*F9)))*C9)),0)))*G9)</f>
        <v>0</v>
      </c>
      <c r="N9" s="87" t="str">
        <f>IF(ROUNDUP(((K9/I9)+1),0)*ROUNDUP(((J9/H9)+1),0)&lt;1.1,"0",ROUNDUP(((K9/I9)+1),0)*ROUNDUP(((J9/H9)+1),0))</f>
        <v>0</v>
      </c>
      <c r="O9" s="299"/>
      <c r="W9" s="82" t="s">
        <v>256</v>
      </c>
      <c r="X9" s="82"/>
      <c r="Y9" s="82"/>
    </row>
    <row r="10" spans="1:26" s="83" customFormat="1" ht="13.2" x14ac:dyDescent="0.25">
      <c r="A10" s="2" t="s">
        <v>71</v>
      </c>
      <c r="B10" s="4">
        <v>0</v>
      </c>
      <c r="C10" s="4">
        <v>0</v>
      </c>
      <c r="D10" s="3">
        <v>0.01</v>
      </c>
      <c r="E10" s="3">
        <v>0.01</v>
      </c>
      <c r="F10" s="4">
        <v>0</v>
      </c>
      <c r="G10" s="4">
        <v>0</v>
      </c>
      <c r="H10" s="4">
        <v>50</v>
      </c>
      <c r="I10" s="4">
        <v>50</v>
      </c>
      <c r="J10" s="4">
        <v>0</v>
      </c>
      <c r="K10" s="4">
        <v>0</v>
      </c>
      <c r="L10" s="5" t="str">
        <f>IF(((ROUNDUP((((J10/(D10+(E10-2*F10)))*B10)),0))+1)*(ROUNDUP((((K10/H10)+1)),0))+(((ROUNDUP((((J10/(D10+(E10-2*F10)))*B10)),0))+1)*G10)&lt;=1,"0",((ROUNDUP((((J10/(D10+(E10-2*F10)))*B10)),0))+1)*(ROUNDUP((((K10/H10)+1)),0))+(((ROUNDUP((((J10/(D10+(E10-2*F10)))*B10)),0))+1)*G10))</f>
        <v>0</v>
      </c>
      <c r="M10" s="258" t="str">
        <f t="shared" si="0"/>
        <v>0</v>
      </c>
      <c r="N10" s="87" t="str">
        <f>IF(ROUNDUP(((K10/I10)+1),0)*ROUNDUP(((J10/H10)+1),0)&lt;1.1,"0",ROUNDUP(((K10/I10)+1),0)*ROUNDUP(((J10/H10)+1),0))</f>
        <v>0</v>
      </c>
      <c r="O10" s="299"/>
      <c r="W10" s="82" t="s">
        <v>255</v>
      </c>
      <c r="X10" s="82"/>
      <c r="Y10" s="82"/>
    </row>
    <row r="11" spans="1:26" s="83" customFormat="1" ht="13.2" x14ac:dyDescent="0.25">
      <c r="A11" s="2" t="s">
        <v>81</v>
      </c>
      <c r="B11" s="4">
        <v>0</v>
      </c>
      <c r="C11" s="4">
        <v>0</v>
      </c>
      <c r="D11" s="3">
        <v>0.01</v>
      </c>
      <c r="E11" s="3">
        <v>0.01</v>
      </c>
      <c r="F11" s="4">
        <v>0</v>
      </c>
      <c r="G11" s="4">
        <v>0</v>
      </c>
      <c r="H11" s="4">
        <v>50</v>
      </c>
      <c r="I11" s="4">
        <v>50</v>
      </c>
      <c r="J11" s="4">
        <v>0</v>
      </c>
      <c r="K11" s="4">
        <v>0</v>
      </c>
      <c r="L11" s="5" t="str">
        <f t="shared" ref="L11:L12" si="1">IF(((ROUNDUP((((J11/(D11+(E11-2*F11)))*B11)),0))+1)*(ROUNDUP((((K11/H11)+1)),0))+(((ROUNDUP((((J11/(D11+(E11-2*F11)))*B11)),0))+1)*G11)&lt;=1,"0",((ROUNDUP((((J11/(D11+(E11-2*F11)))*B11)),0))+1)*(ROUNDUP((((K11/H11)+1)),0))+(((ROUNDUP((((J11/(D11+(E11-2*F11)))*B11)),0))+1)*G11))</f>
        <v>0</v>
      </c>
      <c r="M11" s="258" t="str">
        <f t="shared" si="0"/>
        <v>0</v>
      </c>
      <c r="N11" s="87" t="str">
        <f t="shared" ref="N11:N12" si="2">IF(ROUNDUP(((K11/I11)+1),0)*ROUNDUP(((J11/H11)+1),0)&lt;1.1,"0",ROUNDUP(((K11/I11)+1),0)*ROUNDUP(((J11/H11)+1),0))</f>
        <v>0</v>
      </c>
      <c r="O11" s="299"/>
      <c r="W11" s="82"/>
      <c r="X11" s="82"/>
      <c r="Y11" s="82"/>
    </row>
    <row r="12" spans="1:26" s="83" customFormat="1" thickBot="1" x14ac:dyDescent="0.3">
      <c r="A12" s="2" t="s">
        <v>82</v>
      </c>
      <c r="B12" s="4">
        <v>0</v>
      </c>
      <c r="C12" s="4">
        <v>0</v>
      </c>
      <c r="D12" s="3">
        <v>0.01</v>
      </c>
      <c r="E12" s="3">
        <v>0.01</v>
      </c>
      <c r="F12" s="4">
        <v>0</v>
      </c>
      <c r="G12" s="4">
        <v>0</v>
      </c>
      <c r="H12" s="4">
        <v>50</v>
      </c>
      <c r="I12" s="4">
        <v>50</v>
      </c>
      <c r="J12" s="262">
        <v>0</v>
      </c>
      <c r="K12" s="262">
        <v>0</v>
      </c>
      <c r="L12" s="263" t="str">
        <f t="shared" si="1"/>
        <v>0</v>
      </c>
      <c r="M12" s="264" t="str">
        <f t="shared" si="0"/>
        <v>0</v>
      </c>
      <c r="N12" s="265" t="str">
        <f t="shared" si="2"/>
        <v>0</v>
      </c>
      <c r="O12" s="299"/>
      <c r="W12" s="84" t="s">
        <v>253</v>
      </c>
      <c r="X12" s="82"/>
      <c r="Y12" s="82"/>
    </row>
    <row r="13" spans="1:26" s="83" customFormat="1" ht="14.4" thickBot="1" x14ac:dyDescent="0.3">
      <c r="A13" s="6"/>
      <c r="B13" s="7"/>
      <c r="C13" s="7"/>
      <c r="D13" s="7"/>
      <c r="E13" s="7"/>
      <c r="F13" s="7"/>
      <c r="G13" s="7"/>
      <c r="H13" s="7"/>
      <c r="I13" s="7"/>
      <c r="J13" s="605" t="s">
        <v>300</v>
      </c>
      <c r="K13" s="606"/>
      <c r="L13" s="270">
        <f>SUM(L8:L12)</f>
        <v>270</v>
      </c>
      <c r="M13" s="270">
        <f>SUM(M8:M12)</f>
        <v>252</v>
      </c>
      <c r="N13" s="270">
        <f>SUM(N8:N12)</f>
        <v>81</v>
      </c>
      <c r="O13" s="300"/>
      <c r="W13" s="82" t="s">
        <v>258</v>
      </c>
      <c r="X13" s="82"/>
      <c r="Y13" s="82"/>
    </row>
    <row r="14" spans="1:26" s="83" customFormat="1" ht="13.2" x14ac:dyDescent="0.25">
      <c r="A14" s="2" t="s">
        <v>72</v>
      </c>
      <c r="B14" s="4">
        <v>0</v>
      </c>
      <c r="C14" s="4">
        <v>0</v>
      </c>
      <c r="D14" s="3">
        <v>0.01</v>
      </c>
      <c r="E14" s="3">
        <v>0.01</v>
      </c>
      <c r="F14" s="4">
        <v>0</v>
      </c>
      <c r="G14" s="4">
        <v>0</v>
      </c>
      <c r="H14" s="4">
        <v>50</v>
      </c>
      <c r="I14" s="4">
        <v>50</v>
      </c>
      <c r="J14" s="266">
        <v>0</v>
      </c>
      <c r="K14" s="266">
        <v>0</v>
      </c>
      <c r="L14" s="267" t="str">
        <f>IF((((ROUNDUP((((J14/(D14+(E14-2*F14)))*B14)),0))+1)*(ROUNDUP((((K14/H14)+1)),0))+(((ROUNDUP((((J14/(D14+(E14-2*F14)))*B14)),0))+1)*G14))/2&lt;=1,"0",(((ROUNDUP((((J14/(D14+(E14-2*F14)))*B14)),0))+1)*(ROUNDUP((((K14/H14)+1)),0))+(((ROUNDUP((((J14/(D14+(E14-2*F14)))*B14)),0))+1)*G14))/2)</f>
        <v>0</v>
      </c>
      <c r="M14" s="268" t="str">
        <f>IF((((ROUNDDOWN((((J14/(D14+(E14-2*F14)))*C14)),0)))*(ROUNDUP((((K14/H14)+1)),0))+((ROUNDDOWN((((J14/(D14+(E14-2*F14)))*C14)),0)))*G14)/2&lt;=1,"0", (((ROUNDDOWN((((J14/(D14+(E14-2*F14)))*C14)),0)))*(ROUNDUP((((K14/H14)+1)),0))+((ROUNDDOWN((((J14/(D14+(E14-2*F14)))*C14)),0)))*G14)/2)</f>
        <v>0</v>
      </c>
      <c r="N14" s="269" t="str">
        <f>IF((ROUNDUP(((K14/I14)+1),0)*ROUNDUP(((J14/H14)+1),0)/2)&lt;1.1,"0",(ROUNDUP(((K14/I14)+1),0)*ROUNDUP(((J14/H14)+1),0))/2)</f>
        <v>0</v>
      </c>
      <c r="O14" s="299"/>
      <c r="W14" s="82" t="s">
        <v>257</v>
      </c>
      <c r="X14" s="82"/>
      <c r="Y14" s="82"/>
    </row>
    <row r="15" spans="1:26" s="83" customFormat="1" ht="13.2" x14ac:dyDescent="0.25">
      <c r="A15" s="2" t="s">
        <v>73</v>
      </c>
      <c r="B15" s="4">
        <v>0</v>
      </c>
      <c r="C15" s="4">
        <v>0</v>
      </c>
      <c r="D15" s="3">
        <v>0.01</v>
      </c>
      <c r="E15" s="3">
        <v>0.01</v>
      </c>
      <c r="F15" s="4">
        <v>0</v>
      </c>
      <c r="G15" s="4">
        <v>0</v>
      </c>
      <c r="H15" s="4">
        <v>50</v>
      </c>
      <c r="I15" s="4">
        <v>50</v>
      </c>
      <c r="J15" s="4">
        <v>0</v>
      </c>
      <c r="K15" s="4">
        <v>0</v>
      </c>
      <c r="L15" s="5" t="str">
        <f>IF((((ROUNDUP((((J15/(D15+(E15-2*F15)))*B15)),0))+1)*(ROUNDUP((((K15/H15)+1)),0))+(((ROUNDUP((((J15/(D15+(E15-2*F15)))*B15)),0))+1)*G15))/2&lt;=1,"0",(((ROUNDUP((((J15/(D15+(E15-2*F15)))*B15)),0))+1)*(ROUNDUP((((K15/H15)+1)),0))+(((ROUNDUP((((J15/(D15+(E15-2*F15)))*B15)),0))+1)*G15))/2)</f>
        <v>0</v>
      </c>
      <c r="M15" s="258" t="str">
        <f>IF((((ROUNDDOWN((((J15/(D15+(E15-2*F15)))*C15)),0)))*(ROUNDUP((((K15/H15)+1)),0))+((ROUNDDOWN((((J15/(D15+(E15-2*F15)))*C15)),0)))*G15)/2&lt;=1,"0", (((ROUNDDOWN((((J15/(D15+(E15-2*F15)))*C15)),0)))*(ROUNDUP((((K15/H15)+1)),0))+((ROUNDDOWN((((J15/(D15+(E15-2*F15)))*C15)),0)))*G15)/2)</f>
        <v>0</v>
      </c>
      <c r="N15" s="87" t="str">
        <f>IF((ROUNDUP(((K15/I15)+1),0)*ROUNDUP(((J15/H15)+1),0)/2)&lt;1.1,"0",(ROUNDUP(((K15/I15)+1),0)*ROUNDUP(((J15/H15)+1),0))/2)</f>
        <v>0</v>
      </c>
      <c r="O15" s="299"/>
      <c r="W15" s="82"/>
      <c r="X15" s="82"/>
      <c r="Y15" s="82"/>
    </row>
    <row r="16" spans="1:26" s="83" customFormat="1" ht="13.2" x14ac:dyDescent="0.25">
      <c r="A16" s="2" t="s">
        <v>74</v>
      </c>
      <c r="B16" s="4">
        <v>0</v>
      </c>
      <c r="C16" s="4">
        <v>0</v>
      </c>
      <c r="D16" s="3">
        <v>0.01</v>
      </c>
      <c r="E16" s="3">
        <v>0.01</v>
      </c>
      <c r="F16" s="4">
        <v>0</v>
      </c>
      <c r="G16" s="4">
        <v>0</v>
      </c>
      <c r="H16" s="4">
        <v>50</v>
      </c>
      <c r="I16" s="4">
        <v>50</v>
      </c>
      <c r="J16" s="4">
        <v>0</v>
      </c>
      <c r="K16" s="4">
        <v>0</v>
      </c>
      <c r="L16" s="5" t="str">
        <f t="shared" ref="L16:L17" si="3">IF((((ROUNDUP((((J16/(D16+(E16-2*F16)))*B16)),0))+1)*(ROUNDUP((((K16/H16)+1)),0))+(((ROUNDUP((((J16/(D16+(E16-2*F16)))*B16)),0))+1)*G16))/2&lt;=1,"0",(((ROUNDUP((((J16/(D16+(E16-2*F16)))*B16)),0))+1)*(ROUNDUP((((K16/H16)+1)),0))+(((ROUNDUP((((J16/(D16+(E16-2*F16)))*B16)),0))+1)*G16))/2)</f>
        <v>0</v>
      </c>
      <c r="M16" s="258" t="str">
        <f t="shared" ref="M16:M17" si="4">IF((((ROUNDDOWN((((J16/(D16+(E16-2*F16)))*C16)),0)))*(ROUNDUP((((K16/H16)+1)),0))+((ROUNDDOWN((((J16/(D16+(E16-2*F16)))*C16)),0)))*G16)/2&lt;=1,"0", (((ROUNDDOWN((((J16/(D16+(E16-2*F16)))*C16)),0)))*(ROUNDUP((((K16/H16)+1)),0))+((ROUNDDOWN((((J16/(D16+(E16-2*F16)))*C16)),0)))*G16)/2)</f>
        <v>0</v>
      </c>
      <c r="N16" s="87" t="str">
        <f>IF((ROUNDUP(((K16/I16)+1),0)*ROUNDUP(((J16/H16)+1),0)/2)&lt;1.1,"0",(ROUNDUP(((K16/I16)+1),0)*ROUNDUP(((J16/H16)+1),0))/2)</f>
        <v>0</v>
      </c>
      <c r="O16" s="299"/>
      <c r="W16" s="84" t="s">
        <v>141</v>
      </c>
      <c r="X16" s="82"/>
      <c r="Y16" s="82"/>
    </row>
    <row r="17" spans="1:27" s="83" customFormat="1" thickBot="1" x14ac:dyDescent="0.3">
      <c r="A17" s="2" t="s">
        <v>265</v>
      </c>
      <c r="B17" s="4">
        <v>0</v>
      </c>
      <c r="C17" s="4">
        <v>0</v>
      </c>
      <c r="D17" s="3">
        <v>0.01</v>
      </c>
      <c r="E17" s="3">
        <v>0.01</v>
      </c>
      <c r="F17" s="4">
        <v>0</v>
      </c>
      <c r="G17" s="4">
        <v>0</v>
      </c>
      <c r="H17" s="4">
        <v>50</v>
      </c>
      <c r="I17" s="4">
        <v>50</v>
      </c>
      <c r="J17" s="262">
        <v>0</v>
      </c>
      <c r="K17" s="262">
        <v>0</v>
      </c>
      <c r="L17" s="263" t="str">
        <f t="shared" si="3"/>
        <v>0</v>
      </c>
      <c r="M17" s="264" t="str">
        <f t="shared" si="4"/>
        <v>0</v>
      </c>
      <c r="N17" s="265" t="str">
        <f>IF((ROUNDUP(((K17/I17)+1),0)*ROUNDUP(((J17/H17)+1),0)/2)&lt;1.1,"0",(ROUNDUP(((K17/I17)+1),0)*ROUNDUP(((J17/H17)+1),0))/2)</f>
        <v>0</v>
      </c>
      <c r="O17" s="299"/>
      <c r="W17" s="82" t="s">
        <v>259</v>
      </c>
      <c r="X17" s="82"/>
      <c r="Y17" s="82"/>
    </row>
    <row r="18" spans="1:27" s="83" customFormat="1" thickBot="1" x14ac:dyDescent="0.3">
      <c r="A18" s="6"/>
      <c r="B18" s="6"/>
      <c r="C18" s="6"/>
      <c r="D18" s="6"/>
      <c r="E18" s="6"/>
      <c r="F18" s="6"/>
      <c r="G18" s="6"/>
      <c r="H18" s="6"/>
      <c r="I18" s="6"/>
      <c r="J18" s="605" t="s">
        <v>278</v>
      </c>
      <c r="K18" s="610"/>
      <c r="L18" s="270">
        <f>SUM(L14:L17)</f>
        <v>0</v>
      </c>
      <c r="M18" s="270">
        <f>SUM(M14:M17)</f>
        <v>0</v>
      </c>
      <c r="N18" s="270">
        <f>SUM(N14:N17)</f>
        <v>0</v>
      </c>
      <c r="O18" s="300"/>
      <c r="W18" s="82" t="s">
        <v>172</v>
      </c>
      <c r="X18" s="82"/>
      <c r="Y18" s="82"/>
    </row>
    <row r="19" spans="1:27" s="83" customFormat="1" ht="15" customHeight="1" thickBot="1" x14ac:dyDescent="0.3">
      <c r="A19" s="6"/>
      <c r="B19" s="817" t="s">
        <v>241</v>
      </c>
      <c r="C19" s="817" t="s">
        <v>291</v>
      </c>
      <c r="D19" s="818" t="s">
        <v>286</v>
      </c>
      <c r="E19" s="817" t="s">
        <v>285</v>
      </c>
      <c r="F19" s="6"/>
      <c r="G19" s="6"/>
      <c r="H19" s="6"/>
      <c r="I19" s="6"/>
      <c r="J19" s="551" t="s">
        <v>76</v>
      </c>
      <c r="K19" s="591"/>
      <c r="L19" s="119">
        <f>SUM(L18,L13)</f>
        <v>270</v>
      </c>
      <c r="M19" s="261">
        <f>SUM(M18,M13)</f>
        <v>252</v>
      </c>
      <c r="N19" s="120">
        <f>SUM(N18,N13)</f>
        <v>81</v>
      </c>
      <c r="O19" s="301"/>
      <c r="Y19" s="82"/>
      <c r="Z19" s="82"/>
    </row>
    <row r="20" spans="1:27" s="83" customFormat="1" ht="13.95" customHeight="1" x14ac:dyDescent="0.25">
      <c r="A20" s="2" t="s">
        <v>287</v>
      </c>
      <c r="B20" s="4">
        <v>20</v>
      </c>
      <c r="C20" s="4">
        <v>20</v>
      </c>
      <c r="D20" s="9">
        <v>40</v>
      </c>
      <c r="E20" s="9">
        <v>40</v>
      </c>
      <c r="F20" s="82"/>
      <c r="G20" s="82"/>
      <c r="H20" s="64"/>
      <c r="I20" s="88"/>
      <c r="O20" s="302"/>
      <c r="V20" s="82"/>
      <c r="W20" s="82"/>
    </row>
    <row r="21" spans="1:27" s="83" customFormat="1" ht="7.2" customHeight="1" x14ac:dyDescent="0.25">
      <c r="A21" s="82"/>
      <c r="B21" s="82"/>
      <c r="C21" s="82"/>
      <c r="D21" s="82"/>
      <c r="E21" s="82"/>
      <c r="F21" s="82"/>
      <c r="G21" s="82"/>
      <c r="H21" s="64"/>
      <c r="I21" s="88"/>
      <c r="J21" s="88"/>
      <c r="K21" s="88"/>
      <c r="O21" s="302"/>
      <c r="T21" s="82"/>
      <c r="V21" s="82"/>
      <c r="W21" s="82"/>
    </row>
    <row r="22" spans="1:27" s="83" customFormat="1" ht="31.2" customHeight="1" x14ac:dyDescent="0.25">
      <c r="A22" s="220" t="s">
        <v>453</v>
      </c>
      <c r="B22" s="482" t="s">
        <v>445</v>
      </c>
      <c r="C22" s="482"/>
      <c r="D22" s="482"/>
      <c r="E22" s="482"/>
      <c r="F22" s="129" t="s">
        <v>77</v>
      </c>
      <c r="G22" s="130" t="s">
        <v>328</v>
      </c>
      <c r="H22" s="130" t="s">
        <v>352</v>
      </c>
      <c r="I22" s="130" t="s">
        <v>419</v>
      </c>
      <c r="N22" s="82"/>
      <c r="O22" s="296"/>
    </row>
    <row r="23" spans="1:27" s="83" customFormat="1" ht="10.8" customHeight="1" x14ac:dyDescent="0.25">
      <c r="A23" s="810" t="s">
        <v>136</v>
      </c>
      <c r="B23" s="662" t="s">
        <v>263</v>
      </c>
      <c r="C23" s="663"/>
      <c r="D23" s="663"/>
      <c r="E23" s="664"/>
      <c r="F23" s="761"/>
      <c r="G23" s="789"/>
      <c r="H23" s="107"/>
      <c r="I23" s="751"/>
      <c r="J23" s="90" t="s">
        <v>362</v>
      </c>
      <c r="K23" s="82"/>
      <c r="L23" s="82"/>
      <c r="O23" s="302"/>
    </row>
    <row r="24" spans="1:27" s="83" customFormat="1" ht="10.8" customHeight="1" x14ac:dyDescent="0.25">
      <c r="A24" s="810" t="s">
        <v>136</v>
      </c>
      <c r="B24" s="662" t="s">
        <v>262</v>
      </c>
      <c r="C24" s="663"/>
      <c r="D24" s="663"/>
      <c r="E24" s="664"/>
      <c r="F24" s="761"/>
      <c r="G24" s="789"/>
      <c r="H24" s="107"/>
      <c r="I24" s="752"/>
      <c r="J24" s="607" t="s">
        <v>363</v>
      </c>
      <c r="K24" s="497"/>
      <c r="L24" s="497"/>
      <c r="M24" s="497"/>
      <c r="O24" s="302"/>
    </row>
    <row r="25" spans="1:27" s="83" customFormat="1" ht="8.4" customHeight="1" x14ac:dyDescent="0.25">
      <c r="A25" s="91"/>
      <c r="B25" s="12"/>
      <c r="C25" s="12"/>
      <c r="D25" s="13"/>
      <c r="E25" s="13"/>
      <c r="F25" s="14"/>
      <c r="G25" s="14"/>
      <c r="H25" s="14"/>
      <c r="I25" s="82"/>
      <c r="J25" s="497"/>
      <c r="K25" s="497"/>
      <c r="L25" s="497"/>
      <c r="M25" s="497"/>
      <c r="O25" s="302"/>
    </row>
    <row r="26" spans="1:27" s="83" customFormat="1" ht="30" customHeight="1" x14ac:dyDescent="0.25">
      <c r="A26" s="750" t="s">
        <v>453</v>
      </c>
      <c r="B26" s="512" t="s">
        <v>446</v>
      </c>
      <c r="C26" s="512"/>
      <c r="D26" s="512"/>
      <c r="E26" s="512"/>
      <c r="F26" s="125" t="s">
        <v>77</v>
      </c>
      <c r="G26" s="184" t="s">
        <v>369</v>
      </c>
      <c r="H26" s="126" t="s">
        <v>353</v>
      </c>
      <c r="I26" s="126" t="s">
        <v>443</v>
      </c>
      <c r="J26" s="90"/>
      <c r="K26" s="82"/>
      <c r="L26" s="82"/>
      <c r="O26" s="302"/>
    </row>
    <row r="27" spans="1:27" s="83" customFormat="1" ht="11.4" customHeight="1" x14ac:dyDescent="0.25">
      <c r="A27" s="810" t="s">
        <v>136</v>
      </c>
      <c r="B27" s="662" t="s">
        <v>277</v>
      </c>
      <c r="C27" s="663"/>
      <c r="D27" s="665"/>
      <c r="E27" s="666"/>
      <c r="F27" s="761"/>
      <c r="G27" s="789"/>
      <c r="H27" s="668"/>
      <c r="I27" s="107"/>
      <c r="J27" s="90" t="s">
        <v>364</v>
      </c>
      <c r="K27" s="82"/>
      <c r="L27" s="82"/>
      <c r="O27" s="302"/>
    </row>
    <row r="28" spans="1:27" s="83" customFormat="1" ht="6" customHeight="1" thickBot="1" x14ac:dyDescent="0.3">
      <c r="A28" s="91"/>
      <c r="B28" s="12"/>
      <c r="C28" s="12"/>
      <c r="D28" s="13"/>
      <c r="E28" s="13"/>
      <c r="F28" s="14"/>
      <c r="G28" s="14"/>
      <c r="I28" s="14"/>
      <c r="J28" s="82"/>
      <c r="K28" s="82"/>
      <c r="L28" s="82"/>
      <c r="M28" s="82"/>
      <c r="O28" s="302"/>
    </row>
    <row r="29" spans="1:27" s="83" customFormat="1" ht="33" customHeight="1" thickBot="1" x14ac:dyDescent="0.3">
      <c r="A29" s="275" t="s">
        <v>135</v>
      </c>
      <c r="B29" s="608" t="s">
        <v>2</v>
      </c>
      <c r="C29" s="609"/>
      <c r="D29" s="609"/>
      <c r="E29" s="609"/>
      <c r="F29" s="169" t="s">
        <v>3</v>
      </c>
      <c r="G29" s="170" t="s">
        <v>383</v>
      </c>
      <c r="H29" s="170" t="s">
        <v>289</v>
      </c>
      <c r="I29" s="170" t="s">
        <v>385</v>
      </c>
      <c r="J29" s="170" t="s">
        <v>356</v>
      </c>
      <c r="K29" s="276" t="s">
        <v>357</v>
      </c>
      <c r="L29" s="277" t="s">
        <v>358</v>
      </c>
      <c r="N29" s="82"/>
      <c r="P29" s="302"/>
      <c r="R29" s="171" t="s">
        <v>171</v>
      </c>
    </row>
    <row r="30" spans="1:27" s="83" customFormat="1" ht="12" customHeight="1" x14ac:dyDescent="0.25">
      <c r="A30" s="225" t="s">
        <v>303</v>
      </c>
      <c r="B30" s="753" t="s">
        <v>175</v>
      </c>
      <c r="C30" s="754"/>
      <c r="D30" s="754"/>
      <c r="E30" s="754"/>
      <c r="F30" s="637" t="s">
        <v>176</v>
      </c>
      <c r="G30" s="755">
        <f>40-18-3.5</f>
        <v>18.5</v>
      </c>
      <c r="H30" s="756">
        <v>40</v>
      </c>
      <c r="I30" s="756">
        <v>18</v>
      </c>
      <c r="J30" s="133">
        <v>500</v>
      </c>
      <c r="K30" s="757">
        <f t="shared" ref="K30:K61" si="5">ROUNDUP(($L$19/J30),0)</f>
        <v>1</v>
      </c>
      <c r="L30" s="758">
        <f t="shared" ref="L30:L63" si="6">ROUNDUP(($M$19/J30),0)</f>
        <v>1</v>
      </c>
      <c r="N30" s="498" t="s">
        <v>398</v>
      </c>
      <c r="O30" s="499"/>
      <c r="P30" s="303"/>
    </row>
    <row r="31" spans="1:27" s="83" customFormat="1" ht="12" customHeight="1" x14ac:dyDescent="0.25">
      <c r="A31" s="178"/>
      <c r="B31" s="759" t="s">
        <v>177</v>
      </c>
      <c r="C31" s="760"/>
      <c r="D31" s="760"/>
      <c r="E31" s="760"/>
      <c r="F31" s="638" t="s">
        <v>178</v>
      </c>
      <c r="G31" s="761">
        <f>45-18-3.5</f>
        <v>23.5</v>
      </c>
      <c r="H31" s="762">
        <v>45</v>
      </c>
      <c r="I31" s="762">
        <v>18</v>
      </c>
      <c r="J31" s="107">
        <v>500</v>
      </c>
      <c r="K31" s="763">
        <f t="shared" si="5"/>
        <v>1</v>
      </c>
      <c r="L31" s="764">
        <f t="shared" si="6"/>
        <v>1</v>
      </c>
      <c r="N31" s="500"/>
      <c r="O31" s="500"/>
      <c r="P31" s="303"/>
      <c r="R31" s="172" t="s">
        <v>335</v>
      </c>
      <c r="S31" s="94"/>
      <c r="T31" s="82"/>
      <c r="U31" s="82"/>
      <c r="V31" s="82"/>
      <c r="W31" s="82"/>
      <c r="X31" s="82"/>
      <c r="Y31" s="82"/>
      <c r="Z31" s="82"/>
      <c r="AA31" s="82"/>
    </row>
    <row r="32" spans="1:27" s="83" customFormat="1" ht="12" customHeight="1" x14ac:dyDescent="0.25">
      <c r="A32" s="178"/>
      <c r="B32" s="759" t="s">
        <v>179</v>
      </c>
      <c r="C32" s="760"/>
      <c r="D32" s="760"/>
      <c r="E32" s="760"/>
      <c r="F32" s="638" t="s">
        <v>180</v>
      </c>
      <c r="G32" s="761">
        <f>50-21-3.5</f>
        <v>25.5</v>
      </c>
      <c r="H32" s="762">
        <v>50</v>
      </c>
      <c r="I32" s="762">
        <v>21</v>
      </c>
      <c r="J32" s="107">
        <v>500</v>
      </c>
      <c r="K32" s="763">
        <f t="shared" si="5"/>
        <v>1</v>
      </c>
      <c r="L32" s="764">
        <f t="shared" si="6"/>
        <v>1</v>
      </c>
      <c r="N32" s="391"/>
      <c r="O32" s="391"/>
      <c r="P32" s="304"/>
      <c r="R32" s="486" t="s">
        <v>170</v>
      </c>
      <c r="S32" s="487"/>
      <c r="T32" s="487"/>
      <c r="U32" s="488" t="s">
        <v>155</v>
      </c>
      <c r="V32" s="488"/>
      <c r="W32" s="488" t="s">
        <v>156</v>
      </c>
      <c r="X32" s="488"/>
      <c r="Y32" s="82"/>
      <c r="Z32" s="82"/>
      <c r="AA32" s="82"/>
    </row>
    <row r="33" spans="1:27" s="83" customFormat="1" ht="12" customHeight="1" x14ac:dyDescent="0.25">
      <c r="A33" s="190" t="s">
        <v>245</v>
      </c>
      <c r="B33" s="759" t="s">
        <v>181</v>
      </c>
      <c r="C33" s="760"/>
      <c r="D33" s="760"/>
      <c r="E33" s="760"/>
      <c r="F33" s="638" t="s">
        <v>182</v>
      </c>
      <c r="G33" s="761">
        <f>60-24-3.5</f>
        <v>32.5</v>
      </c>
      <c r="H33" s="762">
        <v>60</v>
      </c>
      <c r="I33" s="762">
        <v>24</v>
      </c>
      <c r="J33" s="107">
        <v>250</v>
      </c>
      <c r="K33" s="763">
        <f t="shared" si="5"/>
        <v>2</v>
      </c>
      <c r="L33" s="764">
        <f t="shared" si="6"/>
        <v>2</v>
      </c>
      <c r="N33" s="391"/>
      <c r="O33" s="391"/>
      <c r="P33" s="304"/>
      <c r="R33" s="486" t="s">
        <v>320</v>
      </c>
      <c r="S33" s="487"/>
      <c r="T33" s="487"/>
      <c r="U33" s="95" t="s">
        <v>157</v>
      </c>
      <c r="V33" s="95" t="s">
        <v>158</v>
      </c>
      <c r="W33" s="95" t="s">
        <v>157</v>
      </c>
      <c r="X33" s="95" t="s">
        <v>158</v>
      </c>
      <c r="Y33" s="82"/>
      <c r="Z33" s="82"/>
      <c r="AA33" s="82"/>
    </row>
    <row r="34" spans="1:27" s="83" customFormat="1" ht="12" customHeight="1" x14ac:dyDescent="0.25">
      <c r="A34" s="190" t="s">
        <v>244</v>
      </c>
      <c r="B34" s="759" t="s">
        <v>183</v>
      </c>
      <c r="C34" s="760"/>
      <c r="D34" s="760"/>
      <c r="E34" s="760"/>
      <c r="F34" s="639" t="s">
        <v>184</v>
      </c>
      <c r="G34" s="761">
        <f>40-18-3.5</f>
        <v>18.5</v>
      </c>
      <c r="H34" s="762">
        <v>40</v>
      </c>
      <c r="I34" s="762">
        <v>18</v>
      </c>
      <c r="J34" s="671">
        <v>500</v>
      </c>
      <c r="K34" s="763">
        <f t="shared" si="5"/>
        <v>1</v>
      </c>
      <c r="L34" s="764">
        <f t="shared" si="6"/>
        <v>1</v>
      </c>
      <c r="N34" s="501" t="s">
        <v>350</v>
      </c>
      <c r="O34" s="502"/>
      <c r="P34" s="305"/>
      <c r="R34" s="489" t="s">
        <v>321</v>
      </c>
      <c r="S34" s="490"/>
      <c r="T34" s="63" t="s">
        <v>159</v>
      </c>
      <c r="U34" s="96">
        <v>76.49603890425729</v>
      </c>
      <c r="V34" s="96">
        <v>45.103796523736598</v>
      </c>
      <c r="W34" s="96">
        <v>60.489731371476182</v>
      </c>
      <c r="X34" s="96">
        <v>35.666115195445862</v>
      </c>
      <c r="Y34" s="82"/>
      <c r="Z34" s="82"/>
      <c r="AA34" s="82"/>
    </row>
    <row r="35" spans="1:27" s="83" customFormat="1" ht="12" customHeight="1" x14ac:dyDescent="0.25">
      <c r="A35" s="178"/>
      <c r="B35" s="759" t="s">
        <v>185</v>
      </c>
      <c r="C35" s="760"/>
      <c r="D35" s="760"/>
      <c r="E35" s="760"/>
      <c r="F35" s="639" t="s">
        <v>186</v>
      </c>
      <c r="G35" s="761">
        <f>45-18-3.5</f>
        <v>23.5</v>
      </c>
      <c r="H35" s="762">
        <v>45</v>
      </c>
      <c r="I35" s="762">
        <v>18</v>
      </c>
      <c r="J35" s="671">
        <v>500</v>
      </c>
      <c r="K35" s="763">
        <f t="shared" si="5"/>
        <v>1</v>
      </c>
      <c r="L35" s="764">
        <f t="shared" si="6"/>
        <v>1</v>
      </c>
      <c r="N35" s="611" t="s">
        <v>351</v>
      </c>
      <c r="O35" s="612"/>
      <c r="P35" s="305"/>
      <c r="R35" s="491"/>
      <c r="S35" s="492"/>
      <c r="T35" s="63" t="s">
        <v>160</v>
      </c>
      <c r="U35" s="96">
        <v>65.277503317253277</v>
      </c>
      <c r="V35" s="96">
        <v>38.489093937059707</v>
      </c>
      <c r="W35" s="96">
        <v>53.401690033607139</v>
      </c>
      <c r="X35" s="96">
        <v>31.486845538683454</v>
      </c>
      <c r="Y35" s="82"/>
      <c r="Z35" s="82"/>
      <c r="AA35" s="82"/>
    </row>
    <row r="36" spans="1:27" s="83" customFormat="1" ht="12" customHeight="1" x14ac:dyDescent="0.25">
      <c r="A36" s="178"/>
      <c r="B36" s="759" t="s">
        <v>187</v>
      </c>
      <c r="C36" s="760"/>
      <c r="D36" s="760"/>
      <c r="E36" s="760"/>
      <c r="F36" s="639" t="s">
        <v>188</v>
      </c>
      <c r="G36" s="761">
        <f>50-21-3.5</f>
        <v>25.5</v>
      </c>
      <c r="H36" s="762">
        <v>50</v>
      </c>
      <c r="I36" s="762">
        <v>21</v>
      </c>
      <c r="J36" s="671">
        <v>500</v>
      </c>
      <c r="K36" s="763">
        <f t="shared" si="5"/>
        <v>1</v>
      </c>
      <c r="L36" s="764">
        <f t="shared" si="6"/>
        <v>1</v>
      </c>
      <c r="P36" s="302"/>
      <c r="R36" s="493"/>
      <c r="S36" s="494"/>
      <c r="T36" s="63" t="s">
        <v>161</v>
      </c>
      <c r="U36" s="96">
        <v>59.446627424799878</v>
      </c>
      <c r="V36" s="96">
        <v>35.05107749103766</v>
      </c>
      <c r="W36" s="96">
        <v>49.506733716280962</v>
      </c>
      <c r="X36" s="96">
        <v>29.190291106297739</v>
      </c>
      <c r="Y36" s="82"/>
      <c r="Z36" s="82"/>
      <c r="AA36" s="82"/>
    </row>
    <row r="37" spans="1:27" s="83" customFormat="1" ht="12" customHeight="1" x14ac:dyDescent="0.25">
      <c r="A37" s="178"/>
      <c r="B37" s="765" t="s">
        <v>189</v>
      </c>
      <c r="C37" s="760"/>
      <c r="D37" s="760"/>
      <c r="E37" s="760"/>
      <c r="F37" s="639" t="s">
        <v>190</v>
      </c>
      <c r="G37" s="761">
        <f>60-24-3.5</f>
        <v>32.5</v>
      </c>
      <c r="H37" s="762">
        <v>60</v>
      </c>
      <c r="I37" s="762">
        <v>24</v>
      </c>
      <c r="J37" s="671">
        <v>250</v>
      </c>
      <c r="K37" s="763">
        <f t="shared" si="5"/>
        <v>2</v>
      </c>
      <c r="L37" s="764">
        <f t="shared" si="6"/>
        <v>2</v>
      </c>
      <c r="P37" s="306"/>
      <c r="R37" s="82"/>
      <c r="S37" s="94"/>
      <c r="T37" s="82"/>
      <c r="U37" s="82"/>
      <c r="V37" s="82"/>
      <c r="W37" s="82"/>
      <c r="X37" s="82"/>
      <c r="Y37" s="82"/>
      <c r="Z37" s="82"/>
      <c r="AA37" s="82"/>
    </row>
    <row r="38" spans="1:27" s="83" customFormat="1" ht="12" customHeight="1" x14ac:dyDescent="0.25">
      <c r="A38" s="178"/>
      <c r="B38" s="765" t="s">
        <v>191</v>
      </c>
      <c r="C38" s="760"/>
      <c r="D38" s="760"/>
      <c r="E38" s="760"/>
      <c r="F38" s="639" t="s">
        <v>192</v>
      </c>
      <c r="G38" s="761">
        <f>70-24-3.5</f>
        <v>42.5</v>
      </c>
      <c r="H38" s="762">
        <v>70</v>
      </c>
      <c r="I38" s="762">
        <v>24</v>
      </c>
      <c r="J38" s="671">
        <v>200</v>
      </c>
      <c r="K38" s="763">
        <f t="shared" si="5"/>
        <v>2</v>
      </c>
      <c r="L38" s="764">
        <f t="shared" si="6"/>
        <v>2</v>
      </c>
      <c r="P38" s="306"/>
      <c r="R38" s="82"/>
      <c r="S38" s="94"/>
      <c r="T38" s="82"/>
      <c r="U38" s="82"/>
      <c r="V38" s="82"/>
      <c r="W38" s="82"/>
      <c r="X38" s="82"/>
      <c r="Y38" s="82"/>
      <c r="Z38" s="82"/>
      <c r="AA38" s="82"/>
    </row>
    <row r="39" spans="1:27" s="83" customFormat="1" ht="12" customHeight="1" thickBot="1" x14ac:dyDescent="0.3">
      <c r="A39" s="191"/>
      <c r="B39" s="766" t="s">
        <v>193</v>
      </c>
      <c r="C39" s="767"/>
      <c r="D39" s="767"/>
      <c r="E39" s="767"/>
      <c r="F39" s="640" t="s">
        <v>194</v>
      </c>
      <c r="G39" s="768">
        <f>80-24-3.5</f>
        <v>52.5</v>
      </c>
      <c r="H39" s="769">
        <v>80</v>
      </c>
      <c r="I39" s="769">
        <v>24</v>
      </c>
      <c r="J39" s="673">
        <v>200</v>
      </c>
      <c r="K39" s="770">
        <f t="shared" si="5"/>
        <v>2</v>
      </c>
      <c r="L39" s="771">
        <f t="shared" si="6"/>
        <v>2</v>
      </c>
      <c r="N39" s="425" t="s">
        <v>382</v>
      </c>
      <c r="O39" s="503"/>
      <c r="P39" s="306"/>
      <c r="R39" s="37" t="s">
        <v>162</v>
      </c>
      <c r="S39" s="94"/>
      <c r="T39" s="82"/>
      <c r="U39" s="82"/>
      <c r="V39" s="82"/>
      <c r="W39" s="82"/>
      <c r="X39" s="82"/>
      <c r="Y39" s="82"/>
      <c r="Z39" s="82"/>
      <c r="AA39" s="82"/>
    </row>
    <row r="40" spans="1:27" s="83" customFormat="1" ht="12" customHeight="1" x14ac:dyDescent="0.3">
      <c r="A40" s="225" t="s">
        <v>304</v>
      </c>
      <c r="B40" s="754" t="s">
        <v>40</v>
      </c>
      <c r="C40" s="754"/>
      <c r="D40" s="754"/>
      <c r="E40" s="754"/>
      <c r="F40" s="772" t="s">
        <v>41</v>
      </c>
      <c r="G40" s="755">
        <f>40-18-3.5</f>
        <v>18.5</v>
      </c>
      <c r="H40" s="756">
        <v>40</v>
      </c>
      <c r="I40" s="756">
        <v>18</v>
      </c>
      <c r="J40" s="773">
        <v>500</v>
      </c>
      <c r="K40" s="757">
        <f t="shared" si="5"/>
        <v>1</v>
      </c>
      <c r="L40" s="758">
        <f t="shared" si="6"/>
        <v>1</v>
      </c>
      <c r="N40" s="503"/>
      <c r="O40" s="503"/>
      <c r="P40" s="306"/>
      <c r="Q40" s="274"/>
      <c r="R40" s="82" t="s">
        <v>163</v>
      </c>
      <c r="S40" s="440" t="s">
        <v>164</v>
      </c>
      <c r="T40" s="530"/>
      <c r="U40" s="530"/>
      <c r="V40" s="530"/>
      <c r="W40" s="530"/>
      <c r="X40" s="530"/>
      <c r="Y40" s="530"/>
      <c r="Z40" s="530"/>
      <c r="AA40" s="530"/>
    </row>
    <row r="41" spans="1:27" s="83" customFormat="1" ht="12" customHeight="1" x14ac:dyDescent="0.3">
      <c r="A41" s="178"/>
      <c r="B41" s="760" t="s">
        <v>42</v>
      </c>
      <c r="C41" s="760"/>
      <c r="D41" s="760"/>
      <c r="E41" s="760"/>
      <c r="F41" s="774" t="s">
        <v>43</v>
      </c>
      <c r="G41" s="761">
        <f>45-18-3.5</f>
        <v>23.5</v>
      </c>
      <c r="H41" s="762">
        <v>45</v>
      </c>
      <c r="I41" s="762">
        <v>18</v>
      </c>
      <c r="J41" s="671">
        <v>500</v>
      </c>
      <c r="K41" s="763">
        <f t="shared" si="5"/>
        <v>1</v>
      </c>
      <c r="L41" s="764">
        <f t="shared" si="6"/>
        <v>1</v>
      </c>
      <c r="N41" s="503"/>
      <c r="O41" s="503"/>
      <c r="P41" s="306"/>
      <c r="Q41" s="274"/>
      <c r="R41" s="97" t="s">
        <v>163</v>
      </c>
      <c r="S41" s="440" t="s">
        <v>165</v>
      </c>
      <c r="T41" s="440"/>
      <c r="U41" s="440"/>
      <c r="V41" s="440"/>
      <c r="W41" s="440"/>
      <c r="X41" s="440"/>
      <c r="Y41" s="440"/>
      <c r="Z41" s="440"/>
      <c r="AA41" s="440"/>
    </row>
    <row r="42" spans="1:27" s="83" customFormat="1" ht="12" customHeight="1" x14ac:dyDescent="0.25">
      <c r="A42" s="178"/>
      <c r="B42" s="760" t="s">
        <v>44</v>
      </c>
      <c r="C42" s="760"/>
      <c r="D42" s="760"/>
      <c r="E42" s="760"/>
      <c r="F42" s="774" t="s">
        <v>45</v>
      </c>
      <c r="G42" s="761">
        <f>50-21-3.5</f>
        <v>25.5</v>
      </c>
      <c r="H42" s="762">
        <v>50</v>
      </c>
      <c r="I42" s="762">
        <v>21</v>
      </c>
      <c r="J42" s="671">
        <v>500</v>
      </c>
      <c r="K42" s="763">
        <f t="shared" si="5"/>
        <v>1</v>
      </c>
      <c r="L42" s="764">
        <f t="shared" si="6"/>
        <v>1</v>
      </c>
      <c r="N42" s="503"/>
      <c r="O42" s="503"/>
      <c r="P42" s="306"/>
      <c r="R42" s="82" t="s">
        <v>163</v>
      </c>
      <c r="S42" s="519"/>
      <c r="T42" s="519"/>
      <c r="U42" s="519"/>
      <c r="V42" s="519"/>
      <c r="W42" s="519"/>
      <c r="X42" s="519"/>
      <c r="Y42" s="519"/>
      <c r="Z42" s="519"/>
      <c r="AA42" s="519"/>
    </row>
    <row r="43" spans="1:27" s="83" customFormat="1" ht="12" customHeight="1" x14ac:dyDescent="0.25">
      <c r="A43" s="190" t="s">
        <v>23</v>
      </c>
      <c r="B43" s="760" t="s">
        <v>46</v>
      </c>
      <c r="C43" s="760"/>
      <c r="D43" s="760"/>
      <c r="E43" s="760"/>
      <c r="F43" s="774" t="s">
        <v>47</v>
      </c>
      <c r="G43" s="761">
        <f>60-24-3.5</f>
        <v>32.5</v>
      </c>
      <c r="H43" s="762">
        <v>60</v>
      </c>
      <c r="I43" s="762">
        <v>24</v>
      </c>
      <c r="J43" s="671">
        <v>250</v>
      </c>
      <c r="K43" s="763">
        <f t="shared" si="5"/>
        <v>2</v>
      </c>
      <c r="L43" s="764">
        <f t="shared" si="6"/>
        <v>2</v>
      </c>
      <c r="N43" s="503"/>
      <c r="O43" s="503"/>
      <c r="P43" s="302"/>
      <c r="R43" s="97" t="s">
        <v>163</v>
      </c>
      <c r="S43" s="440" t="s">
        <v>166</v>
      </c>
      <c r="T43" s="440"/>
      <c r="U43" s="440"/>
      <c r="V43" s="440"/>
      <c r="W43" s="440"/>
      <c r="X43" s="440"/>
      <c r="Y43" s="440"/>
      <c r="Z43" s="440"/>
      <c r="AA43" s="440"/>
    </row>
    <row r="44" spans="1:27" s="83" customFormat="1" ht="12" customHeight="1" x14ac:dyDescent="0.25">
      <c r="A44" s="178"/>
      <c r="B44" s="760" t="s">
        <v>48</v>
      </c>
      <c r="C44" s="760"/>
      <c r="D44" s="760"/>
      <c r="E44" s="760"/>
      <c r="F44" s="774" t="s">
        <v>49</v>
      </c>
      <c r="G44" s="761">
        <f>70-24-3.5</f>
        <v>42.5</v>
      </c>
      <c r="H44" s="762">
        <v>70</v>
      </c>
      <c r="I44" s="762">
        <v>24</v>
      </c>
      <c r="J44" s="671">
        <v>200</v>
      </c>
      <c r="K44" s="763">
        <f t="shared" si="5"/>
        <v>2</v>
      </c>
      <c r="L44" s="764">
        <f t="shared" si="6"/>
        <v>2</v>
      </c>
      <c r="N44" s="503"/>
      <c r="O44" s="503"/>
      <c r="P44" s="306"/>
      <c r="S44" s="440" t="s">
        <v>167</v>
      </c>
      <c r="T44" s="440"/>
      <c r="U44" s="440"/>
      <c r="V44" s="440"/>
      <c r="W44" s="440"/>
      <c r="X44" s="440"/>
      <c r="Y44" s="440"/>
      <c r="Z44" s="440"/>
      <c r="AA44" s="440"/>
    </row>
    <row r="45" spans="1:27" s="83" customFormat="1" ht="12" customHeight="1" thickBot="1" x14ac:dyDescent="0.3">
      <c r="A45" s="191"/>
      <c r="B45" s="767" t="s">
        <v>50</v>
      </c>
      <c r="C45" s="767"/>
      <c r="D45" s="767"/>
      <c r="E45" s="767"/>
      <c r="F45" s="775" t="s">
        <v>51</v>
      </c>
      <c r="G45" s="768">
        <f>80-24-3.5</f>
        <v>52.5</v>
      </c>
      <c r="H45" s="769">
        <v>80</v>
      </c>
      <c r="I45" s="769">
        <v>24</v>
      </c>
      <c r="J45" s="673">
        <v>200</v>
      </c>
      <c r="K45" s="770">
        <f t="shared" si="5"/>
        <v>2</v>
      </c>
      <c r="L45" s="771">
        <f t="shared" si="6"/>
        <v>2</v>
      </c>
      <c r="P45" s="306"/>
      <c r="R45" s="82" t="s">
        <v>163</v>
      </c>
      <c r="S45" s="529"/>
      <c r="T45" s="529"/>
      <c r="U45" s="529"/>
      <c r="V45" s="529"/>
      <c r="W45" s="529"/>
      <c r="X45" s="529"/>
      <c r="Y45" s="529"/>
      <c r="Z45" s="529"/>
      <c r="AA45" s="529"/>
    </row>
    <row r="46" spans="1:27" s="83" customFormat="1" ht="12" customHeight="1" x14ac:dyDescent="0.25">
      <c r="A46" s="225" t="s">
        <v>96</v>
      </c>
      <c r="B46" s="776" t="s">
        <v>87</v>
      </c>
      <c r="C46" s="754"/>
      <c r="D46" s="754"/>
      <c r="E46" s="754"/>
      <c r="F46" s="644" t="s">
        <v>88</v>
      </c>
      <c r="G46" s="777">
        <f>50-29.5</f>
        <v>20.5</v>
      </c>
      <c r="H46" s="756">
        <v>50</v>
      </c>
      <c r="I46" s="756">
        <v>26</v>
      </c>
      <c r="J46" s="143">
        <v>500</v>
      </c>
      <c r="K46" s="757">
        <f t="shared" si="5"/>
        <v>1</v>
      </c>
      <c r="L46" s="758">
        <f t="shared" si="6"/>
        <v>1</v>
      </c>
      <c r="N46" s="425" t="s">
        <v>384</v>
      </c>
      <c r="O46" s="426"/>
      <c r="P46" s="306"/>
      <c r="R46" s="82" t="s">
        <v>163</v>
      </c>
      <c r="S46" s="440" t="s">
        <v>168</v>
      </c>
      <c r="T46" s="440"/>
      <c r="U46" s="440"/>
      <c r="V46" s="440"/>
      <c r="W46" s="440"/>
      <c r="X46" s="440"/>
      <c r="Y46" s="440"/>
      <c r="Z46" s="440"/>
      <c r="AA46" s="440"/>
    </row>
    <row r="47" spans="1:27" s="83" customFormat="1" ht="12" customHeight="1" x14ac:dyDescent="0.25">
      <c r="A47" s="178"/>
      <c r="B47" s="778" t="s">
        <v>89</v>
      </c>
      <c r="C47" s="760"/>
      <c r="D47" s="760"/>
      <c r="E47" s="760"/>
      <c r="F47" s="645" t="s">
        <v>90</v>
      </c>
      <c r="G47" s="779">
        <f>50-28</f>
        <v>22</v>
      </c>
      <c r="H47" s="762">
        <v>50</v>
      </c>
      <c r="I47" s="762">
        <v>24</v>
      </c>
      <c r="J47" s="111">
        <v>250</v>
      </c>
      <c r="K47" s="763">
        <f t="shared" si="5"/>
        <v>2</v>
      </c>
      <c r="L47" s="764">
        <f t="shared" si="6"/>
        <v>2</v>
      </c>
      <c r="N47" s="426"/>
      <c r="O47" s="426"/>
      <c r="P47" s="306"/>
      <c r="S47" s="440" t="s">
        <v>169</v>
      </c>
      <c r="T47" s="440"/>
      <c r="U47" s="440"/>
      <c r="V47" s="440"/>
      <c r="W47" s="440"/>
      <c r="X47" s="440"/>
      <c r="Y47" s="440"/>
      <c r="Z47" s="440"/>
      <c r="AA47" s="440"/>
    </row>
    <row r="48" spans="1:27" s="83" customFormat="1" ht="12" customHeight="1" x14ac:dyDescent="0.25">
      <c r="A48" s="178"/>
      <c r="B48" s="778" t="s">
        <v>91</v>
      </c>
      <c r="C48" s="760"/>
      <c r="D48" s="760"/>
      <c r="E48" s="760"/>
      <c r="F48" s="645">
        <v>16644560</v>
      </c>
      <c r="G48" s="779">
        <f>60-33</f>
        <v>27</v>
      </c>
      <c r="H48" s="762">
        <v>60</v>
      </c>
      <c r="I48" s="762">
        <v>29</v>
      </c>
      <c r="J48" s="111">
        <v>250</v>
      </c>
      <c r="K48" s="763">
        <f t="shared" si="5"/>
        <v>2</v>
      </c>
      <c r="L48" s="764">
        <f t="shared" si="6"/>
        <v>2</v>
      </c>
      <c r="N48" s="426"/>
      <c r="O48" s="426"/>
      <c r="P48" s="306"/>
      <c r="S48" s="516"/>
      <c r="T48" s="516"/>
      <c r="U48" s="516"/>
      <c r="V48" s="516"/>
      <c r="W48" s="516"/>
      <c r="X48" s="516"/>
      <c r="Y48" s="516"/>
      <c r="Z48" s="516"/>
      <c r="AA48" s="516"/>
    </row>
    <row r="49" spans="1:31" s="83" customFormat="1" ht="12" customHeight="1" x14ac:dyDescent="0.25">
      <c r="A49" s="190" t="s">
        <v>243</v>
      </c>
      <c r="B49" s="778" t="s">
        <v>92</v>
      </c>
      <c r="C49" s="760"/>
      <c r="D49" s="760"/>
      <c r="E49" s="760"/>
      <c r="F49" s="645" t="s">
        <v>93</v>
      </c>
      <c r="G49" s="779">
        <f>70-34</f>
        <v>36</v>
      </c>
      <c r="H49" s="762">
        <v>70</v>
      </c>
      <c r="I49" s="762">
        <v>34</v>
      </c>
      <c r="J49" s="111">
        <v>200</v>
      </c>
      <c r="K49" s="763">
        <f t="shared" si="5"/>
        <v>2</v>
      </c>
      <c r="L49" s="764">
        <f t="shared" si="6"/>
        <v>2</v>
      </c>
      <c r="N49" s="426"/>
      <c r="O49" s="426"/>
      <c r="P49" s="306"/>
    </row>
    <row r="50" spans="1:31" s="83" customFormat="1" ht="12" customHeight="1" thickBot="1" x14ac:dyDescent="0.3">
      <c r="A50" s="191"/>
      <c r="B50" s="780" t="s">
        <v>94</v>
      </c>
      <c r="C50" s="767"/>
      <c r="D50" s="767"/>
      <c r="E50" s="767"/>
      <c r="F50" s="646">
        <v>16644580</v>
      </c>
      <c r="G50" s="781">
        <f>80-39</f>
        <v>41</v>
      </c>
      <c r="H50" s="769">
        <v>80</v>
      </c>
      <c r="I50" s="769">
        <v>39</v>
      </c>
      <c r="J50" s="145">
        <v>200</v>
      </c>
      <c r="K50" s="770">
        <f t="shared" si="5"/>
        <v>2</v>
      </c>
      <c r="L50" s="771">
        <f t="shared" si="6"/>
        <v>2</v>
      </c>
      <c r="N50" s="425" t="s">
        <v>396</v>
      </c>
      <c r="O50" s="503"/>
      <c r="P50" s="302"/>
    </row>
    <row r="51" spans="1:31" s="83" customFormat="1" ht="12" customHeight="1" thickBot="1" x14ac:dyDescent="0.3">
      <c r="A51" s="234" t="s">
        <v>99</v>
      </c>
      <c r="B51" s="782" t="s">
        <v>97</v>
      </c>
      <c r="C51" s="783"/>
      <c r="D51" s="783"/>
      <c r="E51" s="783"/>
      <c r="F51" s="647" t="s">
        <v>98</v>
      </c>
      <c r="G51" s="784">
        <f>60-30.5</f>
        <v>29.5</v>
      </c>
      <c r="H51" s="785">
        <v>60</v>
      </c>
      <c r="I51" s="785">
        <v>27</v>
      </c>
      <c r="J51" s="148">
        <v>500</v>
      </c>
      <c r="K51" s="786">
        <f t="shared" si="5"/>
        <v>1</v>
      </c>
      <c r="L51" s="787">
        <f t="shared" si="6"/>
        <v>1</v>
      </c>
      <c r="N51" s="503"/>
      <c r="O51" s="503"/>
      <c r="P51" s="302"/>
    </row>
    <row r="52" spans="1:31" s="83" customFormat="1" ht="12" customHeight="1" x14ac:dyDescent="0.25">
      <c r="A52" s="225" t="s">
        <v>222</v>
      </c>
      <c r="B52" s="776" t="s">
        <v>201</v>
      </c>
      <c r="C52" s="754"/>
      <c r="D52" s="754"/>
      <c r="E52" s="754"/>
      <c r="F52" s="644">
        <v>16634030</v>
      </c>
      <c r="G52" s="788">
        <f xml:space="preserve"> 30-15-3.5</f>
        <v>11.5</v>
      </c>
      <c r="H52" s="756">
        <v>30</v>
      </c>
      <c r="I52" s="756">
        <v>15</v>
      </c>
      <c r="J52" s="143">
        <v>500</v>
      </c>
      <c r="K52" s="757">
        <f t="shared" si="5"/>
        <v>1</v>
      </c>
      <c r="L52" s="758">
        <f t="shared" si="6"/>
        <v>1</v>
      </c>
      <c r="N52" s="503"/>
      <c r="O52" s="503"/>
      <c r="P52" s="302"/>
    </row>
    <row r="53" spans="1:31" s="83" customFormat="1" ht="12" customHeight="1" x14ac:dyDescent="0.25">
      <c r="A53" s="178"/>
      <c r="B53" s="778" t="s">
        <v>202</v>
      </c>
      <c r="C53" s="760"/>
      <c r="D53" s="760"/>
      <c r="E53" s="760"/>
      <c r="F53" s="645" t="s">
        <v>203</v>
      </c>
      <c r="G53" s="789">
        <f>35-21.5</f>
        <v>13.5</v>
      </c>
      <c r="H53" s="762">
        <v>35</v>
      </c>
      <c r="I53" s="762">
        <v>18</v>
      </c>
      <c r="J53" s="111">
        <v>500</v>
      </c>
      <c r="K53" s="763">
        <f t="shared" si="5"/>
        <v>1</v>
      </c>
      <c r="L53" s="764">
        <f t="shared" si="6"/>
        <v>1</v>
      </c>
      <c r="N53" s="503"/>
      <c r="O53" s="503"/>
      <c r="P53" s="302"/>
    </row>
    <row r="54" spans="1:31" s="83" customFormat="1" ht="12" customHeight="1" x14ac:dyDescent="0.25">
      <c r="A54" s="178"/>
      <c r="B54" s="451" t="s">
        <v>204</v>
      </c>
      <c r="C54" s="452"/>
      <c r="D54" s="452"/>
      <c r="E54" s="453"/>
      <c r="F54" s="645" t="s">
        <v>205</v>
      </c>
      <c r="G54" s="789">
        <f>40-24.5</f>
        <v>15.5</v>
      </c>
      <c r="H54" s="762">
        <v>40</v>
      </c>
      <c r="I54" s="762">
        <v>21</v>
      </c>
      <c r="J54" s="111">
        <v>500</v>
      </c>
      <c r="K54" s="763">
        <f t="shared" si="5"/>
        <v>1</v>
      </c>
      <c r="L54" s="764">
        <f t="shared" si="6"/>
        <v>1</v>
      </c>
      <c r="N54" s="503"/>
      <c r="O54" s="503"/>
      <c r="P54" s="302"/>
    </row>
    <row r="55" spans="1:31" s="83" customFormat="1" ht="12" customHeight="1" x14ac:dyDescent="0.25">
      <c r="A55" s="178"/>
      <c r="B55" s="451" t="s">
        <v>206</v>
      </c>
      <c r="C55" s="452"/>
      <c r="D55" s="452"/>
      <c r="E55" s="453"/>
      <c r="F55" s="645" t="s">
        <v>207</v>
      </c>
      <c r="G55" s="789">
        <f>45-29.5</f>
        <v>15.5</v>
      </c>
      <c r="H55" s="762">
        <v>45</v>
      </c>
      <c r="I55" s="762">
        <v>26</v>
      </c>
      <c r="J55" s="111">
        <v>500</v>
      </c>
      <c r="K55" s="763">
        <f t="shared" si="5"/>
        <v>1</v>
      </c>
      <c r="L55" s="764">
        <f t="shared" si="6"/>
        <v>1</v>
      </c>
      <c r="N55" s="503"/>
      <c r="O55" s="503"/>
      <c r="P55" s="302"/>
    </row>
    <row r="56" spans="1:31" s="83" customFormat="1" ht="12" customHeight="1" x14ac:dyDescent="0.25">
      <c r="A56" s="190" t="s">
        <v>246</v>
      </c>
      <c r="B56" s="451" t="s">
        <v>208</v>
      </c>
      <c r="C56" s="452"/>
      <c r="D56" s="452"/>
      <c r="E56" s="453"/>
      <c r="F56" s="645">
        <v>16634050</v>
      </c>
      <c r="G56" s="789">
        <f>50-29.5</f>
        <v>20.5</v>
      </c>
      <c r="H56" s="762">
        <v>50</v>
      </c>
      <c r="I56" s="762">
        <v>26</v>
      </c>
      <c r="J56" s="111">
        <v>500</v>
      </c>
      <c r="K56" s="763">
        <f t="shared" si="5"/>
        <v>1</v>
      </c>
      <c r="L56" s="764">
        <f t="shared" si="6"/>
        <v>1</v>
      </c>
      <c r="N56" s="519"/>
      <c r="O56" s="519"/>
      <c r="P56" s="302"/>
    </row>
    <row r="57" spans="1:31" s="83" customFormat="1" ht="12" customHeight="1" x14ac:dyDescent="0.25">
      <c r="A57" s="178"/>
      <c r="B57" s="451" t="s">
        <v>209</v>
      </c>
      <c r="C57" s="452"/>
      <c r="D57" s="452"/>
      <c r="E57" s="453"/>
      <c r="F57" s="645">
        <v>16634060</v>
      </c>
      <c r="G57" s="789">
        <f>60-34.5</f>
        <v>25.5</v>
      </c>
      <c r="H57" s="762">
        <v>60</v>
      </c>
      <c r="I57" s="762">
        <v>31</v>
      </c>
      <c r="J57" s="111">
        <v>250</v>
      </c>
      <c r="K57" s="763">
        <f t="shared" si="5"/>
        <v>2</v>
      </c>
      <c r="L57" s="764">
        <f t="shared" si="6"/>
        <v>2</v>
      </c>
      <c r="N57" s="519"/>
      <c r="O57" s="519"/>
      <c r="P57" s="302"/>
      <c r="AC57" s="93"/>
    </row>
    <row r="58" spans="1:31" s="83" customFormat="1" ht="12" customHeight="1" x14ac:dyDescent="0.25">
      <c r="A58" s="178"/>
      <c r="B58" s="451" t="s">
        <v>211</v>
      </c>
      <c r="C58" s="452"/>
      <c r="D58" s="452"/>
      <c r="E58" s="453"/>
      <c r="F58" s="645">
        <v>16634540</v>
      </c>
      <c r="G58" s="789">
        <f>40-26</f>
        <v>14</v>
      </c>
      <c r="H58" s="762">
        <v>40</v>
      </c>
      <c r="I58" s="762">
        <v>22</v>
      </c>
      <c r="J58" s="111">
        <v>500</v>
      </c>
      <c r="K58" s="763">
        <f t="shared" si="5"/>
        <v>1</v>
      </c>
      <c r="L58" s="764">
        <f t="shared" si="6"/>
        <v>1</v>
      </c>
      <c r="N58" s="519"/>
      <c r="O58" s="519"/>
      <c r="P58" s="307"/>
      <c r="AC58" s="93"/>
    </row>
    <row r="59" spans="1:31" s="83" customFormat="1" ht="12" customHeight="1" x14ac:dyDescent="0.25">
      <c r="A59" s="178"/>
      <c r="B59" s="451" t="s">
        <v>212</v>
      </c>
      <c r="C59" s="452"/>
      <c r="D59" s="452"/>
      <c r="E59" s="453"/>
      <c r="F59" s="645" t="s">
        <v>213</v>
      </c>
      <c r="G59" s="789">
        <f>45-26</f>
        <v>19</v>
      </c>
      <c r="H59" s="762">
        <v>45</v>
      </c>
      <c r="I59" s="762">
        <v>22</v>
      </c>
      <c r="J59" s="111">
        <v>500</v>
      </c>
      <c r="K59" s="763">
        <f t="shared" si="5"/>
        <v>1</v>
      </c>
      <c r="L59" s="764">
        <f t="shared" si="6"/>
        <v>1</v>
      </c>
      <c r="N59" s="519"/>
      <c r="O59" s="519"/>
      <c r="P59" s="307"/>
    </row>
    <row r="60" spans="1:31" s="83" customFormat="1" ht="12" customHeight="1" x14ac:dyDescent="0.25">
      <c r="A60" s="178"/>
      <c r="B60" s="451" t="s">
        <v>214</v>
      </c>
      <c r="C60" s="452"/>
      <c r="D60" s="452"/>
      <c r="E60" s="453"/>
      <c r="F60" s="645">
        <v>16634550</v>
      </c>
      <c r="G60" s="789">
        <f>50-28</f>
        <v>22</v>
      </c>
      <c r="H60" s="762">
        <v>50</v>
      </c>
      <c r="I60" s="762">
        <v>24</v>
      </c>
      <c r="J60" s="111">
        <v>500</v>
      </c>
      <c r="K60" s="763">
        <f t="shared" si="5"/>
        <v>1</v>
      </c>
      <c r="L60" s="764">
        <f t="shared" si="6"/>
        <v>1</v>
      </c>
      <c r="N60" s="519"/>
      <c r="O60" s="519"/>
      <c r="P60" s="307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D60" s="93"/>
      <c r="AE60" s="93"/>
    </row>
    <row r="61" spans="1:31" ht="12" customHeight="1" x14ac:dyDescent="0.25">
      <c r="A61" s="178"/>
      <c r="B61" s="451" t="s">
        <v>216</v>
      </c>
      <c r="C61" s="452"/>
      <c r="D61" s="452"/>
      <c r="E61" s="453"/>
      <c r="F61" s="645" t="s">
        <v>217</v>
      </c>
      <c r="G61" s="789">
        <f>60-33</f>
        <v>27</v>
      </c>
      <c r="H61" s="762">
        <v>60</v>
      </c>
      <c r="I61" s="762">
        <v>29</v>
      </c>
      <c r="J61" s="111">
        <v>250</v>
      </c>
      <c r="K61" s="763">
        <f t="shared" si="5"/>
        <v>2</v>
      </c>
      <c r="L61" s="764">
        <f t="shared" si="6"/>
        <v>2</v>
      </c>
      <c r="N61" s="83"/>
      <c r="O61" s="83"/>
      <c r="P61" s="302"/>
      <c r="Q61" s="83"/>
      <c r="AC61" s="83"/>
    </row>
    <row r="62" spans="1:31" ht="12" customHeight="1" x14ac:dyDescent="0.25">
      <c r="A62" s="178"/>
      <c r="B62" s="451" t="s">
        <v>218</v>
      </c>
      <c r="C62" s="452"/>
      <c r="D62" s="452"/>
      <c r="E62" s="453"/>
      <c r="F62" s="645" t="s">
        <v>219</v>
      </c>
      <c r="G62" s="789">
        <f>70-38</f>
        <v>32</v>
      </c>
      <c r="H62" s="762">
        <v>70</v>
      </c>
      <c r="I62" s="762">
        <v>34</v>
      </c>
      <c r="J62" s="111">
        <v>200</v>
      </c>
      <c r="K62" s="763">
        <f t="shared" ref="K62:K85" si="7">ROUNDUP(($L$19/J62),0)</f>
        <v>2</v>
      </c>
      <c r="L62" s="764">
        <f t="shared" si="6"/>
        <v>2</v>
      </c>
      <c r="N62" s="83"/>
      <c r="O62" s="83"/>
      <c r="P62" s="302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</row>
    <row r="63" spans="1:31" s="83" customFormat="1" ht="12" customHeight="1" thickBot="1" x14ac:dyDescent="0.3">
      <c r="A63" s="178"/>
      <c r="B63" s="790" t="s">
        <v>220</v>
      </c>
      <c r="C63" s="791"/>
      <c r="D63" s="791"/>
      <c r="E63" s="792"/>
      <c r="F63" s="793" t="s">
        <v>221</v>
      </c>
      <c r="G63" s="794">
        <f>80-43</f>
        <v>37</v>
      </c>
      <c r="H63" s="795">
        <v>80</v>
      </c>
      <c r="I63" s="795">
        <v>39</v>
      </c>
      <c r="J63" s="796">
        <v>200</v>
      </c>
      <c r="K63" s="797">
        <f t="shared" si="7"/>
        <v>2</v>
      </c>
      <c r="L63" s="798">
        <f t="shared" si="6"/>
        <v>2</v>
      </c>
      <c r="N63" s="82"/>
      <c r="O63" s="296"/>
      <c r="P63" s="302"/>
      <c r="AC63" s="93"/>
    </row>
    <row r="64" spans="1:31" s="83" customFormat="1" ht="12" customHeight="1" x14ac:dyDescent="0.25">
      <c r="A64" s="225" t="s">
        <v>113</v>
      </c>
      <c r="B64" s="799" t="s">
        <v>409</v>
      </c>
      <c r="C64" s="754"/>
      <c r="D64" s="754"/>
      <c r="E64" s="754"/>
      <c r="F64" s="800" t="s">
        <v>410</v>
      </c>
      <c r="G64" s="651">
        <f>40-25</f>
        <v>15</v>
      </c>
      <c r="H64" s="150">
        <v>40</v>
      </c>
      <c r="I64" s="150">
        <v>25</v>
      </c>
      <c r="J64" s="335">
        <v>500</v>
      </c>
      <c r="K64" s="786">
        <f t="shared" si="7"/>
        <v>1</v>
      </c>
      <c r="L64" s="758">
        <f t="shared" ref="L64:L67" si="8">ROUNDUP(($M$19/J64),0)</f>
        <v>1</v>
      </c>
      <c r="N64" s="82"/>
      <c r="O64" s="296"/>
      <c r="P64" s="296"/>
      <c r="Q64" s="93"/>
      <c r="AC64" s="93"/>
    </row>
    <row r="65" spans="1:31" s="83" customFormat="1" ht="12" customHeight="1" x14ac:dyDescent="0.25">
      <c r="A65" s="369"/>
      <c r="B65" s="801" t="s">
        <v>402</v>
      </c>
      <c r="C65" s="111"/>
      <c r="D65" s="111"/>
      <c r="E65" s="111"/>
      <c r="F65" s="802" t="s">
        <v>403</v>
      </c>
      <c r="G65" s="652">
        <f>40-24</f>
        <v>16</v>
      </c>
      <c r="H65" s="112">
        <v>40</v>
      </c>
      <c r="I65" s="112">
        <v>24</v>
      </c>
      <c r="J65" s="336">
        <v>500</v>
      </c>
      <c r="K65" s="763">
        <f t="shared" si="7"/>
        <v>1</v>
      </c>
      <c r="L65" s="764">
        <f t="shared" si="8"/>
        <v>1</v>
      </c>
      <c r="N65" s="82"/>
      <c r="O65" s="296"/>
      <c r="P65" s="296"/>
      <c r="Q65" s="93"/>
      <c r="AC65" s="93"/>
    </row>
    <row r="66" spans="1:31" s="83" customFormat="1" ht="12" customHeight="1" x14ac:dyDescent="0.25">
      <c r="A66" s="369"/>
      <c r="B66" s="801" t="s">
        <v>406</v>
      </c>
      <c r="C66" s="111"/>
      <c r="D66" s="111"/>
      <c r="E66" s="111"/>
      <c r="F66" s="802" t="s">
        <v>404</v>
      </c>
      <c r="G66" s="652">
        <f>45-29</f>
        <v>16</v>
      </c>
      <c r="H66" s="112">
        <v>45</v>
      </c>
      <c r="I66" s="112">
        <v>29</v>
      </c>
      <c r="J66" s="336">
        <v>500</v>
      </c>
      <c r="K66" s="763">
        <f t="shared" si="7"/>
        <v>1</v>
      </c>
      <c r="L66" s="764">
        <f t="shared" si="8"/>
        <v>1</v>
      </c>
      <c r="N66" s="82"/>
      <c r="O66" s="296"/>
      <c r="P66" s="296"/>
      <c r="Q66" s="93"/>
      <c r="AC66" s="93"/>
    </row>
    <row r="67" spans="1:31" s="83" customFormat="1" ht="12" customHeight="1" x14ac:dyDescent="0.25">
      <c r="A67" s="369"/>
      <c r="B67" s="801" t="s">
        <v>407</v>
      </c>
      <c r="C67" s="111"/>
      <c r="D67" s="111"/>
      <c r="E67" s="111"/>
      <c r="F67" s="802" t="s">
        <v>405</v>
      </c>
      <c r="G67" s="652">
        <f>55-39</f>
        <v>16</v>
      </c>
      <c r="H67" s="117">
        <v>50</v>
      </c>
      <c r="I67" s="117">
        <v>34</v>
      </c>
      <c r="J67" s="803">
        <v>500</v>
      </c>
      <c r="K67" s="763">
        <f t="shared" si="7"/>
        <v>1</v>
      </c>
      <c r="L67" s="764">
        <f t="shared" si="8"/>
        <v>1</v>
      </c>
      <c r="N67" s="82"/>
      <c r="O67" s="296"/>
      <c r="P67" s="296"/>
      <c r="Q67" s="93"/>
      <c r="AC67" s="93"/>
    </row>
    <row r="68" spans="1:31" s="83" customFormat="1" ht="12" customHeight="1" x14ac:dyDescent="0.25">
      <c r="A68" s="369"/>
      <c r="B68" s="804" t="s">
        <v>101</v>
      </c>
      <c r="C68" s="760"/>
      <c r="D68" s="760"/>
      <c r="E68" s="760"/>
      <c r="F68" s="649" t="s">
        <v>102</v>
      </c>
      <c r="G68" s="779">
        <f>55-39</f>
        <v>16</v>
      </c>
      <c r="H68" s="762">
        <v>55</v>
      </c>
      <c r="I68" s="762">
        <v>39</v>
      </c>
      <c r="J68" s="113">
        <v>250</v>
      </c>
      <c r="K68" s="763">
        <f t="shared" si="7"/>
        <v>2</v>
      </c>
      <c r="L68" s="764">
        <f t="shared" ref="L68:L85" si="9">ROUNDUP(($M$19/J68),0)</f>
        <v>2</v>
      </c>
      <c r="N68" s="82"/>
      <c r="O68" s="296"/>
      <c r="P68" s="296"/>
      <c r="Q68" s="93"/>
      <c r="AC68" s="93"/>
    </row>
    <row r="69" spans="1:31" s="83" customFormat="1" ht="12" customHeight="1" x14ac:dyDescent="0.25">
      <c r="A69" s="177"/>
      <c r="B69" s="778" t="s">
        <v>103</v>
      </c>
      <c r="C69" s="760"/>
      <c r="D69" s="760"/>
      <c r="E69" s="760"/>
      <c r="F69" s="649" t="s">
        <v>104</v>
      </c>
      <c r="G69" s="779">
        <f>60-39</f>
        <v>21</v>
      </c>
      <c r="H69" s="762">
        <v>60</v>
      </c>
      <c r="I69" s="762">
        <v>39</v>
      </c>
      <c r="J69" s="113">
        <v>250</v>
      </c>
      <c r="K69" s="763">
        <f t="shared" si="7"/>
        <v>2</v>
      </c>
      <c r="L69" s="764">
        <f t="shared" si="9"/>
        <v>2</v>
      </c>
      <c r="P69" s="296"/>
      <c r="Q69" s="93"/>
      <c r="AC69" s="93"/>
    </row>
    <row r="70" spans="1:31" s="83" customFormat="1" ht="12" customHeight="1" x14ac:dyDescent="0.25">
      <c r="A70" s="177"/>
      <c r="B70" s="778" t="s">
        <v>105</v>
      </c>
      <c r="C70" s="760"/>
      <c r="D70" s="760"/>
      <c r="E70" s="760"/>
      <c r="F70" s="649" t="s">
        <v>106</v>
      </c>
      <c r="G70" s="779">
        <f>70-39</f>
        <v>31</v>
      </c>
      <c r="H70" s="762">
        <v>70</v>
      </c>
      <c r="I70" s="762">
        <v>39</v>
      </c>
      <c r="J70" s="111">
        <v>200</v>
      </c>
      <c r="K70" s="763">
        <f t="shared" si="7"/>
        <v>2</v>
      </c>
      <c r="L70" s="764">
        <f t="shared" si="9"/>
        <v>2</v>
      </c>
      <c r="N70" s="292"/>
      <c r="O70" s="292"/>
      <c r="P70" s="296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ht="12" customHeight="1" x14ac:dyDescent="0.25">
      <c r="A71" s="177"/>
      <c r="B71" s="778" t="s">
        <v>107</v>
      </c>
      <c r="C71" s="760"/>
      <c r="D71" s="760"/>
      <c r="E71" s="760"/>
      <c r="F71" s="649" t="s">
        <v>108</v>
      </c>
      <c r="G71" s="779">
        <f>60-38</f>
        <v>22</v>
      </c>
      <c r="H71" s="762">
        <v>60</v>
      </c>
      <c r="I71" s="762">
        <v>38</v>
      </c>
      <c r="J71" s="113">
        <v>250</v>
      </c>
      <c r="K71" s="763">
        <f t="shared" si="7"/>
        <v>2</v>
      </c>
      <c r="L71" s="764">
        <f t="shared" si="9"/>
        <v>2</v>
      </c>
      <c r="N71" s="84" t="s">
        <v>308</v>
      </c>
      <c r="O71" s="83"/>
      <c r="P71" s="296"/>
      <c r="Q71" s="83"/>
    </row>
    <row r="72" spans="1:31" ht="12" customHeight="1" x14ac:dyDescent="0.25">
      <c r="A72" s="177"/>
      <c r="B72" s="778" t="s">
        <v>109</v>
      </c>
      <c r="C72" s="760"/>
      <c r="D72" s="760"/>
      <c r="E72" s="760"/>
      <c r="F72" s="649" t="s">
        <v>110</v>
      </c>
      <c r="G72" s="779">
        <f>70-43</f>
        <v>27</v>
      </c>
      <c r="H72" s="762">
        <v>70</v>
      </c>
      <c r="I72" s="762">
        <v>43</v>
      </c>
      <c r="J72" s="111">
        <v>200</v>
      </c>
      <c r="K72" s="763">
        <f t="shared" si="7"/>
        <v>2</v>
      </c>
      <c r="L72" s="764">
        <f t="shared" si="9"/>
        <v>2</v>
      </c>
      <c r="N72" s="83"/>
      <c r="O72" s="83"/>
      <c r="P72" s="296"/>
      <c r="Q72" s="83"/>
    </row>
    <row r="73" spans="1:31" ht="12" customHeight="1" thickBot="1" x14ac:dyDescent="0.3">
      <c r="A73" s="200"/>
      <c r="B73" s="462" t="s">
        <v>111</v>
      </c>
      <c r="C73" s="469"/>
      <c r="D73" s="469"/>
      <c r="E73" s="470"/>
      <c r="F73" s="650" t="s">
        <v>112</v>
      </c>
      <c r="G73" s="781">
        <f>80-48</f>
        <v>32</v>
      </c>
      <c r="H73" s="769">
        <v>80</v>
      </c>
      <c r="I73" s="769">
        <v>48</v>
      </c>
      <c r="J73" s="145">
        <v>200</v>
      </c>
      <c r="K73" s="805">
        <f t="shared" si="7"/>
        <v>2</v>
      </c>
      <c r="L73" s="771">
        <f t="shared" si="9"/>
        <v>2</v>
      </c>
      <c r="N73" s="614" t="s">
        <v>340</v>
      </c>
      <c r="O73" s="426"/>
      <c r="P73" s="296"/>
      <c r="Q73" s="83"/>
    </row>
    <row r="74" spans="1:31" ht="12" customHeight="1" x14ac:dyDescent="0.25">
      <c r="A74" s="225" t="s">
        <v>134</v>
      </c>
      <c r="B74" s="450" t="s">
        <v>126</v>
      </c>
      <c r="C74" s="448"/>
      <c r="D74" s="448"/>
      <c r="E74" s="449"/>
      <c r="F74" s="648" t="s">
        <v>127</v>
      </c>
      <c r="G74" s="777">
        <f>60-39</f>
        <v>21</v>
      </c>
      <c r="H74" s="756">
        <v>60</v>
      </c>
      <c r="I74" s="756">
        <v>39</v>
      </c>
      <c r="J74" s="151">
        <v>250</v>
      </c>
      <c r="K74" s="757">
        <f t="shared" si="7"/>
        <v>2</v>
      </c>
      <c r="L74" s="758">
        <f t="shared" si="9"/>
        <v>2</v>
      </c>
      <c r="N74" s="426"/>
      <c r="O74" s="426"/>
      <c r="P74" s="296"/>
    </row>
    <row r="75" spans="1:31" ht="12" customHeight="1" x14ac:dyDescent="0.25">
      <c r="A75" s="227"/>
      <c r="B75" s="451" t="s">
        <v>128</v>
      </c>
      <c r="C75" s="452"/>
      <c r="D75" s="452"/>
      <c r="E75" s="453"/>
      <c r="F75" s="649" t="s">
        <v>129</v>
      </c>
      <c r="G75" s="779">
        <f>60-37</f>
        <v>23</v>
      </c>
      <c r="H75" s="762">
        <v>60</v>
      </c>
      <c r="I75" s="762">
        <v>37</v>
      </c>
      <c r="J75" s="113">
        <v>250</v>
      </c>
      <c r="K75" s="763">
        <f t="shared" si="7"/>
        <v>2</v>
      </c>
      <c r="L75" s="764">
        <f t="shared" si="9"/>
        <v>2</v>
      </c>
      <c r="N75" s="426"/>
      <c r="O75" s="426"/>
      <c r="P75" s="296"/>
    </row>
    <row r="76" spans="1:31" ht="12" customHeight="1" x14ac:dyDescent="0.25">
      <c r="A76" s="227"/>
      <c r="B76" s="451" t="s">
        <v>130</v>
      </c>
      <c r="C76" s="452"/>
      <c r="D76" s="452"/>
      <c r="E76" s="453"/>
      <c r="F76" s="649" t="s">
        <v>131</v>
      </c>
      <c r="G76" s="779">
        <f>70-42</f>
        <v>28</v>
      </c>
      <c r="H76" s="762">
        <v>70</v>
      </c>
      <c r="I76" s="762">
        <v>42</v>
      </c>
      <c r="J76" s="111">
        <v>200</v>
      </c>
      <c r="K76" s="763">
        <f t="shared" si="7"/>
        <v>2</v>
      </c>
      <c r="L76" s="764">
        <f t="shared" si="9"/>
        <v>2</v>
      </c>
      <c r="N76" s="273" t="s">
        <v>367</v>
      </c>
      <c r="O76" s="83"/>
      <c r="P76" s="296"/>
    </row>
    <row r="77" spans="1:31" ht="12" customHeight="1" thickBot="1" x14ac:dyDescent="0.3">
      <c r="A77" s="227"/>
      <c r="B77" s="790" t="s">
        <v>132</v>
      </c>
      <c r="C77" s="791"/>
      <c r="D77" s="791"/>
      <c r="E77" s="792"/>
      <c r="F77" s="806" t="s">
        <v>133</v>
      </c>
      <c r="G77" s="807">
        <f>80-50</f>
        <v>30</v>
      </c>
      <c r="H77" s="795">
        <v>80</v>
      </c>
      <c r="I77" s="795">
        <v>50</v>
      </c>
      <c r="J77" s="796">
        <v>200</v>
      </c>
      <c r="K77" s="797">
        <f t="shared" si="7"/>
        <v>2</v>
      </c>
      <c r="L77" s="798">
        <f t="shared" si="9"/>
        <v>2</v>
      </c>
      <c r="N77" s="83"/>
      <c r="O77" s="83"/>
      <c r="P77" s="296"/>
    </row>
    <row r="78" spans="1:31" ht="12" customHeight="1" x14ac:dyDescent="0.25">
      <c r="A78" s="225" t="s">
        <v>125</v>
      </c>
      <c r="B78" s="776" t="s">
        <v>411</v>
      </c>
      <c r="C78" s="776"/>
      <c r="D78" s="776"/>
      <c r="E78" s="776"/>
      <c r="F78" s="800" t="s">
        <v>412</v>
      </c>
      <c r="G78" s="651">
        <f>40-24</f>
        <v>16</v>
      </c>
      <c r="H78" s="157">
        <v>40</v>
      </c>
      <c r="I78" s="157">
        <v>24</v>
      </c>
      <c r="J78" s="808">
        <v>500</v>
      </c>
      <c r="K78" s="786">
        <f t="shared" si="7"/>
        <v>1</v>
      </c>
      <c r="L78" s="758">
        <f t="shared" si="9"/>
        <v>1</v>
      </c>
      <c r="N78" s="273" t="s">
        <v>368</v>
      </c>
      <c r="O78" s="83"/>
      <c r="P78" s="296"/>
    </row>
    <row r="79" spans="1:31" ht="12" customHeight="1" x14ac:dyDescent="0.25">
      <c r="A79" s="369"/>
      <c r="B79" s="114" t="s">
        <v>415</v>
      </c>
      <c r="C79" s="111"/>
      <c r="D79" s="111"/>
      <c r="E79" s="111"/>
      <c r="F79" s="802" t="s">
        <v>413</v>
      </c>
      <c r="G79" s="652">
        <f>45-29</f>
        <v>16</v>
      </c>
      <c r="H79" s="117">
        <v>45</v>
      </c>
      <c r="I79" s="117">
        <v>29</v>
      </c>
      <c r="J79" s="803">
        <v>500</v>
      </c>
      <c r="K79" s="763">
        <f t="shared" si="7"/>
        <v>1</v>
      </c>
      <c r="L79" s="764">
        <f t="shared" si="9"/>
        <v>1</v>
      </c>
      <c r="N79" s="273"/>
      <c r="O79" s="83"/>
      <c r="P79" s="296"/>
    </row>
    <row r="80" spans="1:31" ht="12" customHeight="1" x14ac:dyDescent="0.25">
      <c r="A80" s="369"/>
      <c r="B80" s="114" t="s">
        <v>416</v>
      </c>
      <c r="C80" s="111"/>
      <c r="D80" s="111"/>
      <c r="E80" s="111"/>
      <c r="F80" s="802" t="s">
        <v>414</v>
      </c>
      <c r="G80" s="652">
        <f>50-34</f>
        <v>16</v>
      </c>
      <c r="H80" s="117">
        <v>50</v>
      </c>
      <c r="I80" s="117">
        <v>34</v>
      </c>
      <c r="J80" s="803">
        <v>500</v>
      </c>
      <c r="K80" s="763">
        <f t="shared" si="7"/>
        <v>1</v>
      </c>
      <c r="L80" s="764">
        <f t="shared" si="9"/>
        <v>1</v>
      </c>
      <c r="N80" s="273"/>
      <c r="O80" s="83"/>
      <c r="P80" s="296"/>
    </row>
    <row r="81" spans="1:29" ht="12" customHeight="1" x14ac:dyDescent="0.25">
      <c r="A81" s="369"/>
      <c r="B81" s="778" t="s">
        <v>115</v>
      </c>
      <c r="C81" s="760"/>
      <c r="D81" s="760"/>
      <c r="E81" s="760"/>
      <c r="F81" s="649" t="s">
        <v>116</v>
      </c>
      <c r="G81" s="779">
        <f>60-39</f>
        <v>21</v>
      </c>
      <c r="H81" s="762">
        <v>60</v>
      </c>
      <c r="I81" s="762">
        <v>39</v>
      </c>
      <c r="J81" s="113">
        <v>250</v>
      </c>
      <c r="K81" s="763">
        <f t="shared" si="7"/>
        <v>2</v>
      </c>
      <c r="L81" s="764">
        <f t="shared" si="9"/>
        <v>2</v>
      </c>
      <c r="N81" s="273"/>
      <c r="O81" s="83"/>
      <c r="P81" s="296"/>
    </row>
    <row r="82" spans="1:29" ht="12" customHeight="1" x14ac:dyDescent="0.25">
      <c r="A82" s="230"/>
      <c r="B82" s="778" t="s">
        <v>117</v>
      </c>
      <c r="C82" s="760"/>
      <c r="D82" s="760"/>
      <c r="E82" s="760"/>
      <c r="F82" s="649" t="s">
        <v>118</v>
      </c>
      <c r="G82" s="779">
        <f>70-39</f>
        <v>31</v>
      </c>
      <c r="H82" s="762">
        <v>70</v>
      </c>
      <c r="I82" s="762">
        <v>39</v>
      </c>
      <c r="J82" s="111">
        <v>200</v>
      </c>
      <c r="K82" s="763">
        <f t="shared" si="7"/>
        <v>2</v>
      </c>
      <c r="L82" s="764">
        <f t="shared" si="9"/>
        <v>2</v>
      </c>
      <c r="P82" s="296"/>
    </row>
    <row r="83" spans="1:29" ht="12" customHeight="1" x14ac:dyDescent="0.25">
      <c r="A83" s="230"/>
      <c r="B83" s="778" t="s">
        <v>119</v>
      </c>
      <c r="C83" s="760"/>
      <c r="D83" s="760"/>
      <c r="E83" s="760"/>
      <c r="F83" s="649" t="s">
        <v>120</v>
      </c>
      <c r="G83" s="779">
        <f>60-38</f>
        <v>22</v>
      </c>
      <c r="H83" s="762">
        <v>60</v>
      </c>
      <c r="I83" s="762">
        <v>38</v>
      </c>
      <c r="J83" s="113">
        <v>250</v>
      </c>
      <c r="K83" s="763">
        <f t="shared" si="7"/>
        <v>2</v>
      </c>
      <c r="L83" s="764">
        <f t="shared" si="9"/>
        <v>2</v>
      </c>
      <c r="O83" s="82"/>
      <c r="P83" s="296"/>
    </row>
    <row r="84" spans="1:29" ht="12" customHeight="1" x14ac:dyDescent="0.25">
      <c r="A84" s="230"/>
      <c r="B84" s="778" t="s">
        <v>121</v>
      </c>
      <c r="C84" s="760"/>
      <c r="D84" s="760"/>
      <c r="E84" s="760"/>
      <c r="F84" s="649" t="s">
        <v>122</v>
      </c>
      <c r="G84" s="779">
        <f>70-43</f>
        <v>27</v>
      </c>
      <c r="H84" s="762">
        <v>70</v>
      </c>
      <c r="I84" s="762">
        <v>43</v>
      </c>
      <c r="J84" s="111">
        <v>100</v>
      </c>
      <c r="K84" s="763">
        <f t="shared" si="7"/>
        <v>3</v>
      </c>
      <c r="L84" s="764">
        <f t="shared" si="9"/>
        <v>3</v>
      </c>
      <c r="O84" s="82"/>
      <c r="P84" s="296"/>
    </row>
    <row r="85" spans="1:29" ht="12" customHeight="1" thickBot="1" x14ac:dyDescent="0.3">
      <c r="A85" s="201" t="s">
        <v>242</v>
      </c>
      <c r="B85" s="780" t="s">
        <v>123</v>
      </c>
      <c r="C85" s="767"/>
      <c r="D85" s="767"/>
      <c r="E85" s="767"/>
      <c r="F85" s="650" t="s">
        <v>124</v>
      </c>
      <c r="G85" s="781">
        <f>80-48</f>
        <v>32</v>
      </c>
      <c r="H85" s="769">
        <v>80</v>
      </c>
      <c r="I85" s="769">
        <v>48</v>
      </c>
      <c r="J85" s="145">
        <v>100</v>
      </c>
      <c r="K85" s="809">
        <f t="shared" si="7"/>
        <v>3</v>
      </c>
      <c r="L85" s="771">
        <f t="shared" si="9"/>
        <v>3</v>
      </c>
      <c r="O85" s="82"/>
      <c r="P85" s="296"/>
      <c r="AC85" s="82"/>
    </row>
    <row r="86" spans="1:29" x14ac:dyDescent="0.25">
      <c r="K86" s="93"/>
      <c r="O86" s="82"/>
      <c r="AB86" s="82"/>
    </row>
    <row r="87" spans="1:29" ht="14.4" thickBot="1" x14ac:dyDescent="0.3">
      <c r="J87" s="93"/>
      <c r="K87" s="93"/>
      <c r="L87" s="93"/>
      <c r="M87" s="93"/>
      <c r="O87" s="82"/>
      <c r="S87" s="82"/>
    </row>
    <row r="88" spans="1:29" ht="37.200000000000003" customHeight="1" thickBot="1" x14ac:dyDescent="0.3">
      <c r="A88" s="160" t="s">
        <v>361</v>
      </c>
      <c r="B88" s="461" t="s">
        <v>2</v>
      </c>
      <c r="C88" s="461"/>
      <c r="D88" s="461"/>
      <c r="E88" s="461"/>
      <c r="F88" s="161" t="s">
        <v>3</v>
      </c>
      <c r="G88" s="162" t="s">
        <v>290</v>
      </c>
      <c r="H88" s="162" t="s">
        <v>360</v>
      </c>
      <c r="I88" s="162" t="s">
        <v>397</v>
      </c>
      <c r="J88" s="162" t="s">
        <v>359</v>
      </c>
      <c r="K88" s="163" t="s">
        <v>147</v>
      </c>
      <c r="L88" s="93"/>
      <c r="M88" s="93"/>
      <c r="N88" s="440" t="s">
        <v>392</v>
      </c>
      <c r="O88" s="516"/>
      <c r="S88" s="82"/>
      <c r="T88" s="82"/>
      <c r="U88" s="82"/>
    </row>
    <row r="89" spans="1:29" s="82" customFormat="1" ht="12" customHeight="1" x14ac:dyDescent="0.25">
      <c r="A89" s="131" t="s">
        <v>154</v>
      </c>
      <c r="B89" s="450" t="s">
        <v>152</v>
      </c>
      <c r="C89" s="448"/>
      <c r="D89" s="448"/>
      <c r="E89" s="449"/>
      <c r="F89" s="644">
        <v>19040460</v>
      </c>
      <c r="G89" s="788">
        <v>30</v>
      </c>
      <c r="H89" s="150">
        <v>60</v>
      </c>
      <c r="I89" s="150">
        <v>30</v>
      </c>
      <c r="J89" s="648">
        <v>250</v>
      </c>
      <c r="K89" s="811">
        <f>ROUNDUP(($N$19/J89),0)</f>
        <v>1</v>
      </c>
      <c r="N89" s="516"/>
      <c r="O89" s="516"/>
      <c r="P89" s="93"/>
      <c r="Q89" s="93"/>
      <c r="R89" s="93"/>
      <c r="S89" s="93"/>
    </row>
    <row r="90" spans="1:29" s="82" customFormat="1" ht="12" customHeight="1" x14ac:dyDescent="0.25">
      <c r="A90" s="812"/>
      <c r="B90" s="451" t="s">
        <v>153</v>
      </c>
      <c r="C90" s="452"/>
      <c r="D90" s="452"/>
      <c r="E90" s="453"/>
      <c r="F90" s="645">
        <v>19040470</v>
      </c>
      <c r="G90" s="789">
        <v>40</v>
      </c>
      <c r="H90" s="112">
        <v>70</v>
      </c>
      <c r="I90" s="112">
        <v>30</v>
      </c>
      <c r="J90" s="671">
        <v>200</v>
      </c>
      <c r="K90" s="813">
        <f>ROUNDUP(($N$19/J90),0)</f>
        <v>1</v>
      </c>
      <c r="N90" s="516"/>
      <c r="O90" s="516"/>
      <c r="P90" s="93"/>
      <c r="Q90" s="93"/>
    </row>
    <row r="91" spans="1:29" s="82" customFormat="1" ht="12" customHeight="1" x14ac:dyDescent="0.25">
      <c r="A91" s="812"/>
      <c r="B91" s="451" t="s">
        <v>148</v>
      </c>
      <c r="C91" s="452"/>
      <c r="D91" s="452"/>
      <c r="E91" s="453"/>
      <c r="F91" s="645" t="s">
        <v>149</v>
      </c>
      <c r="G91" s="789">
        <v>32</v>
      </c>
      <c r="H91" s="112">
        <v>60</v>
      </c>
      <c r="I91" s="112">
        <v>28</v>
      </c>
      <c r="J91" s="649">
        <v>250</v>
      </c>
      <c r="K91" s="813">
        <f>ROUNDUP(($N$19/J91),0)</f>
        <v>1</v>
      </c>
      <c r="N91" s="516"/>
      <c r="O91" s="516"/>
      <c r="P91" s="93"/>
      <c r="Q91" s="93"/>
    </row>
    <row r="92" spans="1:29" s="82" customFormat="1" ht="12" customHeight="1" thickBot="1" x14ac:dyDescent="0.3">
      <c r="A92" s="814"/>
      <c r="B92" s="462" t="s">
        <v>150</v>
      </c>
      <c r="C92" s="469"/>
      <c r="D92" s="469"/>
      <c r="E92" s="470"/>
      <c r="F92" s="646" t="s">
        <v>151</v>
      </c>
      <c r="G92" s="816">
        <v>42</v>
      </c>
      <c r="H92" s="146">
        <v>70</v>
      </c>
      <c r="I92" s="146">
        <v>28</v>
      </c>
      <c r="J92" s="673">
        <v>200</v>
      </c>
      <c r="K92" s="815">
        <f>ROUNDUP(($N$19/J92),0)</f>
        <v>1</v>
      </c>
      <c r="N92" s="613"/>
      <c r="O92" s="613"/>
      <c r="P92" s="93"/>
      <c r="Q92" s="93"/>
      <c r="T92" s="93"/>
      <c r="U92" s="93"/>
    </row>
    <row r="93" spans="1:29" x14ac:dyDescent="0.25">
      <c r="K93" s="93"/>
      <c r="L93" s="93"/>
      <c r="M93" s="93"/>
      <c r="N93" s="498" t="s">
        <v>295</v>
      </c>
      <c r="O93" s="391"/>
    </row>
    <row r="94" spans="1:29" x14ac:dyDescent="0.25">
      <c r="K94" s="93"/>
      <c r="L94" s="93"/>
      <c r="M94" s="93"/>
      <c r="N94" s="391"/>
      <c r="O94" s="391"/>
    </row>
    <row r="95" spans="1:29" x14ac:dyDescent="0.25">
      <c r="L95" s="93"/>
      <c r="M95" s="93"/>
      <c r="N95" s="506" t="s">
        <v>296</v>
      </c>
      <c r="O95" s="507"/>
    </row>
    <row r="96" spans="1:29" x14ac:dyDescent="0.25">
      <c r="L96" s="93"/>
      <c r="M96" s="93"/>
      <c r="N96" s="93"/>
      <c r="O96" s="308"/>
    </row>
    <row r="97" spans="11:15" x14ac:dyDescent="0.25">
      <c r="L97" s="93"/>
      <c r="M97" s="93"/>
      <c r="N97" s="93"/>
      <c r="O97" s="308"/>
    </row>
    <row r="98" spans="11:15" x14ac:dyDescent="0.25">
      <c r="L98" s="93"/>
      <c r="M98" s="93"/>
      <c r="N98" s="93"/>
      <c r="O98" s="308"/>
    </row>
    <row r="99" spans="11:15" x14ac:dyDescent="0.25">
      <c r="L99" s="93"/>
      <c r="M99" s="93"/>
      <c r="N99" s="93"/>
      <c r="O99" s="308"/>
    </row>
    <row r="100" spans="11:15" x14ac:dyDescent="0.25">
      <c r="K100" s="93"/>
      <c r="L100" s="93"/>
      <c r="M100" s="93"/>
      <c r="N100" s="93"/>
      <c r="O100" s="308"/>
    </row>
    <row r="101" spans="11:15" x14ac:dyDescent="0.25">
      <c r="K101" s="93"/>
      <c r="L101" s="93"/>
      <c r="M101" s="93"/>
      <c r="N101" s="93"/>
      <c r="O101" s="308"/>
    </row>
    <row r="102" spans="11:15" x14ac:dyDescent="0.25">
      <c r="K102" s="93"/>
      <c r="L102" s="93"/>
      <c r="M102" s="93"/>
      <c r="N102" s="93"/>
      <c r="O102" s="308"/>
    </row>
    <row r="103" spans="11:15" x14ac:dyDescent="0.25">
      <c r="K103" s="93"/>
      <c r="L103" s="93"/>
      <c r="M103" s="93"/>
      <c r="N103" s="93"/>
      <c r="O103" s="308"/>
    </row>
    <row r="104" spans="11:15" x14ac:dyDescent="0.25">
      <c r="K104" s="93"/>
      <c r="L104" s="93"/>
      <c r="M104" s="93"/>
      <c r="N104" s="93"/>
      <c r="O104" s="308"/>
    </row>
    <row r="105" spans="11:15" x14ac:dyDescent="0.25">
      <c r="K105" s="93"/>
      <c r="L105" s="93"/>
      <c r="M105" s="93"/>
      <c r="N105" s="93"/>
      <c r="O105" s="308"/>
    </row>
    <row r="106" spans="11:15" x14ac:dyDescent="0.25">
      <c r="K106" s="93"/>
      <c r="L106" s="93"/>
      <c r="M106" s="93"/>
      <c r="N106" s="93"/>
      <c r="O106" s="308"/>
    </row>
    <row r="107" spans="11:15" x14ac:dyDescent="0.25">
      <c r="K107" s="93"/>
      <c r="L107" s="93"/>
      <c r="M107" s="93"/>
      <c r="N107" s="93"/>
      <c r="O107" s="308"/>
    </row>
    <row r="108" spans="11:15" x14ac:dyDescent="0.25">
      <c r="K108" s="93"/>
      <c r="L108" s="93"/>
      <c r="M108" s="93"/>
      <c r="N108" s="93"/>
      <c r="O108" s="308"/>
    </row>
    <row r="109" spans="11:15" x14ac:dyDescent="0.25">
      <c r="K109" s="93"/>
      <c r="L109" s="93"/>
      <c r="M109" s="93"/>
      <c r="N109" s="93"/>
      <c r="O109" s="308"/>
    </row>
    <row r="110" spans="11:15" x14ac:dyDescent="0.25">
      <c r="K110" s="93"/>
      <c r="L110" s="93"/>
      <c r="M110" s="93"/>
      <c r="N110" s="93"/>
      <c r="O110" s="308"/>
    </row>
    <row r="111" spans="11:15" x14ac:dyDescent="0.25">
      <c r="K111" s="93"/>
      <c r="L111" s="93"/>
      <c r="M111" s="93"/>
      <c r="N111" s="93"/>
      <c r="O111" s="308"/>
    </row>
    <row r="112" spans="11:15" x14ac:dyDescent="0.25">
      <c r="K112" s="93"/>
      <c r="L112" s="93"/>
      <c r="M112" s="93"/>
      <c r="N112" s="93"/>
      <c r="O112" s="308"/>
    </row>
    <row r="113" spans="11:15" x14ac:dyDescent="0.25">
      <c r="K113" s="93"/>
      <c r="L113" s="93"/>
      <c r="M113" s="93"/>
      <c r="N113" s="93"/>
      <c r="O113" s="308"/>
    </row>
    <row r="114" spans="11:15" x14ac:dyDescent="0.25">
      <c r="K114" s="93"/>
      <c r="L114" s="93"/>
      <c r="M114" s="93"/>
      <c r="N114" s="93"/>
      <c r="O114" s="308"/>
    </row>
    <row r="115" spans="11:15" x14ac:dyDescent="0.25">
      <c r="K115" s="93"/>
      <c r="L115" s="93"/>
      <c r="M115" s="93"/>
      <c r="N115" s="93"/>
      <c r="O115" s="308"/>
    </row>
    <row r="116" spans="11:15" x14ac:dyDescent="0.25">
      <c r="K116" s="93"/>
      <c r="L116" s="93"/>
      <c r="M116" s="93"/>
      <c r="N116" s="93"/>
      <c r="O116" s="308"/>
    </row>
    <row r="117" spans="11:15" x14ac:dyDescent="0.25">
      <c r="K117" s="93"/>
      <c r="L117" s="93"/>
      <c r="M117" s="93"/>
      <c r="N117" s="93"/>
      <c r="O117" s="308"/>
    </row>
    <row r="118" spans="11:15" x14ac:dyDescent="0.25">
      <c r="K118" s="93"/>
      <c r="L118" s="93"/>
      <c r="M118" s="93"/>
      <c r="N118" s="93"/>
      <c r="O118" s="308"/>
    </row>
    <row r="119" spans="11:15" x14ac:dyDescent="0.25">
      <c r="K119" s="93"/>
      <c r="L119" s="93"/>
      <c r="M119" s="93"/>
      <c r="N119" s="93"/>
      <c r="O119" s="308"/>
    </row>
    <row r="120" spans="11:15" x14ac:dyDescent="0.25">
      <c r="K120" s="93"/>
      <c r="L120" s="93"/>
      <c r="M120" s="93"/>
      <c r="N120" s="93"/>
      <c r="O120" s="308"/>
    </row>
    <row r="121" spans="11:15" x14ac:dyDescent="0.25">
      <c r="N121" s="93"/>
      <c r="O121" s="308"/>
    </row>
    <row r="122" spans="11:15" x14ac:dyDescent="0.25">
      <c r="N122" s="93"/>
      <c r="O122" s="308"/>
    </row>
  </sheetData>
  <sheetProtection algorithmName="SHA-512" hashValue="8tWBieiFeZewTN6xu2JR6OOrf7LlL4zcS3ITr3pZK6I5AOTPjgkVNvyAs4AToWjcg9J4sWG1QYdeYNGoPqk1iA==" saltValue="xxd2gjIWwKXpMoICEAhHiA==" spinCount="100000" sheet="1" selectLockedCells="1"/>
  <mergeCells count="97">
    <mergeCell ref="B84:E84"/>
    <mergeCell ref="B85:E85"/>
    <mergeCell ref="B88:E88"/>
    <mergeCell ref="B89:E89"/>
    <mergeCell ref="B71:E71"/>
    <mergeCell ref="B72:E72"/>
    <mergeCell ref="N95:O95"/>
    <mergeCell ref="N88:O92"/>
    <mergeCell ref="B90:E90"/>
    <mergeCell ref="B91:E91"/>
    <mergeCell ref="B92:E92"/>
    <mergeCell ref="N93:O94"/>
    <mergeCell ref="B82:E82"/>
    <mergeCell ref="B83:E83"/>
    <mergeCell ref="B73:E73"/>
    <mergeCell ref="B74:E74"/>
    <mergeCell ref="N39:O44"/>
    <mergeCell ref="B75:E75"/>
    <mergeCell ref="B76:E76"/>
    <mergeCell ref="B77:E77"/>
    <mergeCell ref="B78:E78"/>
    <mergeCell ref="B63:E63"/>
    <mergeCell ref="B64:E64"/>
    <mergeCell ref="B69:E69"/>
    <mergeCell ref="B70:E70"/>
    <mergeCell ref="B81:E81"/>
    <mergeCell ref="B68:E68"/>
    <mergeCell ref="N73:O75"/>
    <mergeCell ref="B62:E62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50:E50"/>
    <mergeCell ref="B42:E42"/>
    <mergeCell ref="S43:AA43"/>
    <mergeCell ref="B43:E43"/>
    <mergeCell ref="S44:AA45"/>
    <mergeCell ref="B44:E44"/>
    <mergeCell ref="B45:E45"/>
    <mergeCell ref="S46:AA46"/>
    <mergeCell ref="B46:E46"/>
    <mergeCell ref="B47:E47"/>
    <mergeCell ref="B48:E48"/>
    <mergeCell ref="B49:E49"/>
    <mergeCell ref="N46:O49"/>
    <mergeCell ref="N50:O60"/>
    <mergeCell ref="B29:E29"/>
    <mergeCell ref="B30:E30"/>
    <mergeCell ref="B31:E31"/>
    <mergeCell ref="B32:E32"/>
    <mergeCell ref="B41:E41"/>
    <mergeCell ref="B33:E33"/>
    <mergeCell ref="B34:E34"/>
    <mergeCell ref="B35:E35"/>
    <mergeCell ref="B36:E36"/>
    <mergeCell ref="B37:E37"/>
    <mergeCell ref="B38:E38"/>
    <mergeCell ref="B39:E39"/>
    <mergeCell ref="B40:E40"/>
    <mergeCell ref="B27:E27"/>
    <mergeCell ref="B6:C6"/>
    <mergeCell ref="J6:K6"/>
    <mergeCell ref="L6:M6"/>
    <mergeCell ref="W7:Z7"/>
    <mergeCell ref="J13:K13"/>
    <mergeCell ref="B22:E22"/>
    <mergeCell ref="B23:E23"/>
    <mergeCell ref="B24:E24"/>
    <mergeCell ref="J24:M25"/>
    <mergeCell ref="B26:E26"/>
    <mergeCell ref="J18:K18"/>
    <mergeCell ref="B1:D1"/>
    <mergeCell ref="E1:G1"/>
    <mergeCell ref="H1:K1"/>
    <mergeCell ref="M1:N1"/>
    <mergeCell ref="B3:N3"/>
    <mergeCell ref="Q4:R4"/>
    <mergeCell ref="J19:K19"/>
    <mergeCell ref="S47:AA48"/>
    <mergeCell ref="S41:AA42"/>
    <mergeCell ref="N30:O33"/>
    <mergeCell ref="U32:V32"/>
    <mergeCell ref="W32:X32"/>
    <mergeCell ref="R33:T33"/>
    <mergeCell ref="R34:S36"/>
    <mergeCell ref="R32:T32"/>
    <mergeCell ref="S40:AA40"/>
    <mergeCell ref="N34:O34"/>
    <mergeCell ref="N35:O35"/>
  </mergeCells>
  <conditionalFormatting sqref="K89:K92">
    <cfRule type="expression" dxfId="18" priority="44">
      <formula>H89&gt;($D$20+$E$20)</formula>
    </cfRule>
    <cfRule type="expression" dxfId="17" priority="45">
      <formula>$D$20&gt;G89</formula>
    </cfRule>
  </conditionalFormatting>
  <conditionalFormatting sqref="K82:K85 K69:K80 K30:K67">
    <cfRule type="expression" dxfId="16" priority="54">
      <formula>$B$20&gt;=I30</formula>
    </cfRule>
    <cfRule type="expression" dxfId="15" priority="55">
      <formula>H30&gt;($B$20+$D$20)</formula>
    </cfRule>
    <cfRule type="expression" dxfId="14" priority="56">
      <formula>$B$20&gt;=G30</formula>
    </cfRule>
  </conditionalFormatting>
  <conditionalFormatting sqref="L82:L85 L69:L80 L30:L63">
    <cfRule type="expression" dxfId="13" priority="57">
      <formula>H30&gt;($B$20+$D$20+$C$20)</formula>
    </cfRule>
    <cfRule type="expression" dxfId="12" priority="58">
      <formula>($B$20+$C$20)&gt;G30</formula>
    </cfRule>
  </conditionalFormatting>
  <conditionalFormatting sqref="K81">
    <cfRule type="expression" dxfId="11" priority="8">
      <formula>$B$20&gt;=I81</formula>
    </cfRule>
    <cfRule type="expression" dxfId="10" priority="9">
      <formula>H81&gt;($B$20+$D$20)</formula>
    </cfRule>
    <cfRule type="expression" dxfId="9" priority="10">
      <formula>$B$20&gt;=G81</formula>
    </cfRule>
  </conditionalFormatting>
  <conditionalFormatting sqref="L81">
    <cfRule type="expression" dxfId="8" priority="11">
      <formula>H81&gt;($B$20+$D$20+$C$20)</formula>
    </cfRule>
    <cfRule type="expression" dxfId="7" priority="12">
      <formula>($B$20+$C$20)&gt;G81</formula>
    </cfRule>
  </conditionalFormatting>
  <conditionalFormatting sqref="K68">
    <cfRule type="expression" dxfId="6" priority="3">
      <formula>$B$20&gt;=I68</formula>
    </cfRule>
    <cfRule type="expression" dxfId="5" priority="4">
      <formula>H68&gt;($B$20+$D$20)</formula>
    </cfRule>
    <cfRule type="expression" dxfId="4" priority="5">
      <formula>$B$20&gt;=G68</formula>
    </cfRule>
  </conditionalFormatting>
  <conditionalFormatting sqref="L68">
    <cfRule type="expression" dxfId="3" priority="6">
      <formula>H68&gt;($B$20+$D$20+$C$20)</formula>
    </cfRule>
    <cfRule type="expression" dxfId="2" priority="7">
      <formula>($B$20+$C$20)&gt;G68</formula>
    </cfRule>
  </conditionalFormatting>
  <conditionalFormatting sqref="L64:L67">
    <cfRule type="expression" dxfId="1" priority="1">
      <formula>H64&gt;($B$20+$D$20+$C$20)</formula>
    </cfRule>
    <cfRule type="expression" dxfId="0" priority="2">
      <formula>($B$20+$C$20)&gt;G64</formula>
    </cfRule>
  </conditionalFormatting>
  <hyperlinks>
    <hyperlink ref="Q1" r:id="rId1" xr:uid="{6F182E94-FBE6-48CB-80E8-EF1F2923431B}"/>
  </hyperlinks>
  <pageMargins left="0.39370078740157483" right="0.39370078740157483" top="1.1023622047244095" bottom="0.47244094488188981" header="0.31496062992125984" footer="0.31496062992125984"/>
  <pageSetup paperSize="256" orientation="landscape" r:id="rId2"/>
  <headerFooter differentFirst="1">
    <firstHeader>&amp;R&amp;G</firstHeader>
    <firstFooter xml:space="preserve">&amp;L&amp;"Wuerth Book,Standard"&amp;8HINWEIS: Es handelt sich  um Planungshilfen zur Bestimmung der Schraubenmengen. Die Statik ist durch autorisierte Personen im Projektfall zu bemessen. 
&amp;D Boden Deckel/Leisten Schalung&amp;R&amp;"Wuerth Book,Standard"&amp;8 &amp;P von &amp;N </firstFooter>
  </headerFooter>
  <ignoredErrors>
    <ignoredError sqref="F30:F85 F91:F92" numberStoredAsText="1"/>
    <ignoredError sqref="G30:G85" unlockedFormula="1"/>
  </ignoredError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B33258D3F6AA4794D52E24F7E10AD4" ma:contentTypeVersion="13" ma:contentTypeDescription="Ein neues Dokument erstellen." ma:contentTypeScope="" ma:versionID="5ef3833a4748b22e58ec57d942441545">
  <xsd:schema xmlns:xsd="http://www.w3.org/2001/XMLSchema" xmlns:xs="http://www.w3.org/2001/XMLSchema" xmlns:p="http://schemas.microsoft.com/office/2006/metadata/properties" xmlns:ns2="acded9ce-0ce9-4f10-b464-b54a65d30a55" xmlns:ns3="12d55b59-9fc2-4103-bf5c-1044caae3558" targetNamespace="http://schemas.microsoft.com/office/2006/metadata/properties" ma:root="true" ma:fieldsID="70854d7df419bd34c8238b9eeec19c29" ns2:_="" ns3:_="">
    <xsd:import namespace="acded9ce-0ce9-4f10-b464-b54a65d30a55"/>
    <xsd:import namespace="12d55b59-9fc2-4103-bf5c-1044caae35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ed9ce-0ce9-4f10-b464-b54a65d30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55b59-9fc2-4103-bf5c-1044caae355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976DF-FE02-4136-84A6-DA345926A3D2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12d55b59-9fc2-4103-bf5c-1044caae3558"/>
    <ds:schemaRef ds:uri="http://purl.org/dc/dcmitype/"/>
    <ds:schemaRef ds:uri="acded9ce-0ce9-4f10-b464-b54a65d30a55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1209A1-FA53-40F6-94FD-12ECE108A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AF325C-BACD-4BFB-8E81-439E0EC5F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ed9ce-0ce9-4f10-b464-b54a65d30a55"/>
    <ds:schemaRef ds:uri="12d55b59-9fc2-4103-bf5c-1044caae35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Vorlage Terrasse</vt:lpstr>
      <vt:lpstr>Vorlage offene Rhomboidfassade</vt:lpstr>
      <vt:lpstr>Vorlage Stülpschalung</vt:lpstr>
      <vt:lpstr>Vorlage Profil-Keilstülpsch</vt:lpstr>
      <vt:lpstr>Vorlage Boden Deckel Schalung</vt:lpstr>
      <vt:lpstr>'Vorlage Boden Deckel Schalung'!Druckbereich</vt:lpstr>
      <vt:lpstr>'Vorlage offene Rhomboidfassade'!Druckbereich</vt:lpstr>
      <vt:lpstr>'Vorlage Profil-Keilstülpsch'!Druckbereich</vt:lpstr>
      <vt:lpstr>'Vorlage Stülpschalung'!Druckbereich</vt:lpstr>
      <vt:lpstr>'Vorlage Terrasse'!Druckbereich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Cera, Udo</dc:creator>
  <cp:lastModifiedBy>Cera, Udo</cp:lastModifiedBy>
  <cp:lastPrinted>2023-05-03T12:40:15Z</cp:lastPrinted>
  <dcterms:created xsi:type="dcterms:W3CDTF">2016-10-21T11:41:44Z</dcterms:created>
  <dcterms:modified xsi:type="dcterms:W3CDTF">2023-05-03T12:56:03Z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0x010100F6B33258D3F6AA4794D52E24F7E10AD4</vt:lpwstr>
  </property>
</Properties>
</file>